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 firstSheet="4" activeTab="4"/>
  </bookViews>
  <sheets>
    <sheet name="JANEIRO 2022" sheetId="1" r:id="rId1"/>
    <sheet name="JANEIRO 2023" sheetId="2" r:id="rId2"/>
    <sheet name="DEZEMBRO 2022" sheetId="24" r:id="rId3"/>
    <sheet name="JANEIRO 24" sheetId="25" r:id="rId4"/>
    <sheet name="DEZEMBRO 2024" sheetId="36" r:id="rId5"/>
  </sheets>
  <calcPr calcId="125725"/>
  <extLst>
    <ext uri="GoogleSheetsCustomDataVersion2">
      <go:sheetsCustomData xmlns:go="http://customooxmlschemas.google.com/" r:id="rId41" roundtripDataChecksum="FgjCZNPBx0uIgEe1bl6yxQsTKWew62r9JVlVy/V0z7w="/>
    </ext>
  </extLst>
</workbook>
</file>

<file path=xl/calcChain.xml><?xml version="1.0" encoding="utf-8"?>
<calcChain xmlns="http://schemas.openxmlformats.org/spreadsheetml/2006/main">
  <c r="Q84" i="36"/>
  <c r="P84"/>
  <c r="O84"/>
  <c r="T83"/>
  <c r="N83"/>
  <c r="R83" s="1"/>
  <c r="R82"/>
  <c r="T82" s="1"/>
  <c r="N82"/>
  <c r="W81"/>
  <c r="U81"/>
  <c r="S81"/>
  <c r="N81"/>
  <c r="R81" s="1"/>
  <c r="T81" s="1"/>
  <c r="N80"/>
  <c r="R80" s="1"/>
  <c r="R79"/>
  <c r="N79"/>
  <c r="N78"/>
  <c r="R78" s="1"/>
  <c r="W77"/>
  <c r="W76" s="1"/>
  <c r="U77"/>
  <c r="S77"/>
  <c r="S76" s="1"/>
  <c r="N77"/>
  <c r="R77" s="1"/>
  <c r="M76"/>
  <c r="L76"/>
  <c r="K76"/>
  <c r="W75"/>
  <c r="W74" s="1"/>
  <c r="U75"/>
  <c r="U74" s="1"/>
  <c r="S75"/>
  <c r="S74" s="1"/>
  <c r="N75"/>
  <c r="R75" s="1"/>
  <c r="L75"/>
  <c r="L74" s="1"/>
  <c r="N74" s="1"/>
  <c r="R74" s="1"/>
  <c r="M74"/>
  <c r="W73"/>
  <c r="W72" s="1"/>
  <c r="U73"/>
  <c r="U72" s="1"/>
  <c r="S73"/>
  <c r="S72" s="1"/>
  <c r="N73"/>
  <c r="R73" s="1"/>
  <c r="M73"/>
  <c r="L73"/>
  <c r="K73"/>
  <c r="K72" s="1"/>
  <c r="L72"/>
  <c r="R71"/>
  <c r="T71" s="1"/>
  <c r="N71"/>
  <c r="N70"/>
  <c r="R70" s="1"/>
  <c r="V70" s="1"/>
  <c r="N69"/>
  <c r="R69" s="1"/>
  <c r="R68"/>
  <c r="N68"/>
  <c r="N67"/>
  <c r="R67" s="1"/>
  <c r="W66"/>
  <c r="W65" s="1"/>
  <c r="U66"/>
  <c r="U65" s="1"/>
  <c r="S66"/>
  <c r="S65" s="1"/>
  <c r="N66"/>
  <c r="R66" s="1"/>
  <c r="L65"/>
  <c r="N65" s="1"/>
  <c r="R65" s="1"/>
  <c r="V65" s="1"/>
  <c r="W64"/>
  <c r="W63" s="1"/>
  <c r="U64"/>
  <c r="U63" s="1"/>
  <c r="S64"/>
  <c r="S63" s="1"/>
  <c r="K64"/>
  <c r="K63" s="1"/>
  <c r="R62"/>
  <c r="T62" s="1"/>
  <c r="N62"/>
  <c r="V61"/>
  <c r="N61"/>
  <c r="R61" s="1"/>
  <c r="N60"/>
  <c r="R60" s="1"/>
  <c r="R59"/>
  <c r="N59"/>
  <c r="N58"/>
  <c r="R58" s="1"/>
  <c r="N57"/>
  <c r="R57" s="1"/>
  <c r="X56"/>
  <c r="N56"/>
  <c r="R56" s="1"/>
  <c r="N55"/>
  <c r="R55" s="1"/>
  <c r="N54"/>
  <c r="R54" s="1"/>
  <c r="T54" s="1"/>
  <c r="X53"/>
  <c r="V53"/>
  <c r="R53"/>
  <c r="T53" s="1"/>
  <c r="N53"/>
  <c r="N52"/>
  <c r="R52" s="1"/>
  <c r="W51"/>
  <c r="W50" s="1"/>
  <c r="U51"/>
  <c r="U50" s="1"/>
  <c r="S51"/>
  <c r="S50" s="1"/>
  <c r="M51"/>
  <c r="N51" s="1"/>
  <c r="R51" s="1"/>
  <c r="L51"/>
  <c r="L50" s="1"/>
  <c r="L84" s="1"/>
  <c r="K51"/>
  <c r="W49"/>
  <c r="W48" s="1"/>
  <c r="U49"/>
  <c r="U48" s="1"/>
  <c r="S49"/>
  <c r="N49"/>
  <c r="R49" s="1"/>
  <c r="K49"/>
  <c r="K48" s="1"/>
  <c r="N48" s="1"/>
  <c r="R48" s="1"/>
  <c r="X47"/>
  <c r="V47"/>
  <c r="R47"/>
  <c r="T47" s="1"/>
  <c r="N47"/>
  <c r="N46"/>
  <c r="R46" s="1"/>
  <c r="N45"/>
  <c r="R45" s="1"/>
  <c r="T45" s="1"/>
  <c r="R44"/>
  <c r="T44" s="1"/>
  <c r="N44"/>
  <c r="N43"/>
  <c r="R43" s="1"/>
  <c r="N42"/>
  <c r="R42" s="1"/>
  <c r="P39"/>
  <c r="O39"/>
  <c r="N38"/>
  <c r="R38" s="1"/>
  <c r="V38" s="1"/>
  <c r="N37"/>
  <c r="R37" s="1"/>
  <c r="W36"/>
  <c r="W35" s="1"/>
  <c r="U36"/>
  <c r="U35" s="1"/>
  <c r="S36"/>
  <c r="S35" s="1"/>
  <c r="L36"/>
  <c r="L35" s="1"/>
  <c r="N35" s="1"/>
  <c r="R35" s="1"/>
  <c r="M35"/>
  <c r="N34"/>
  <c r="R34" s="1"/>
  <c r="W33"/>
  <c r="W32" s="1"/>
  <c r="U33"/>
  <c r="S33"/>
  <c r="N33"/>
  <c r="R33" s="1"/>
  <c r="M33"/>
  <c r="M32" s="1"/>
  <c r="M39" s="1"/>
  <c r="L33"/>
  <c r="L32" s="1"/>
  <c r="K33"/>
  <c r="Q32"/>
  <c r="Q39" s="1"/>
  <c r="Q85" s="1"/>
  <c r="K32"/>
  <c r="K39" s="1"/>
  <c r="N31"/>
  <c r="R31" s="1"/>
  <c r="R30"/>
  <c r="T30" s="1"/>
  <c r="N30"/>
  <c r="R29"/>
  <c r="T29" s="1"/>
  <c r="N29"/>
  <c r="N28"/>
  <c r="R28" s="1"/>
  <c r="V28" s="1"/>
  <c r="N27"/>
  <c r="R27" s="1"/>
  <c r="R26"/>
  <c r="N26"/>
  <c r="N25"/>
  <c r="R25" s="1"/>
  <c r="R24"/>
  <c r="X24" s="1"/>
  <c r="N24"/>
  <c r="X23"/>
  <c r="N23"/>
  <c r="R23" s="1"/>
  <c r="N22"/>
  <c r="R22" s="1"/>
  <c r="N21"/>
  <c r="R21" s="1"/>
  <c r="T21" s="1"/>
  <c r="N20"/>
  <c r="R20" s="1"/>
  <c r="N19"/>
  <c r="R19" s="1"/>
  <c r="N18"/>
  <c r="R18" s="1"/>
  <c r="T18" s="1"/>
  <c r="N17"/>
  <c r="R17" s="1"/>
  <c r="T17" s="1"/>
  <c r="V16"/>
  <c r="N16"/>
  <c r="R16" s="1"/>
  <c r="N15"/>
  <c r="R15" s="1"/>
  <c r="R14"/>
  <c r="N14"/>
  <c r="M87" i="25"/>
  <c r="M89" s="1"/>
  <c r="M86"/>
  <c r="N86" s="1"/>
  <c r="M81"/>
  <c r="M80"/>
  <c r="U78"/>
  <c r="U77"/>
  <c r="U76"/>
  <c r="D76"/>
  <c r="M75"/>
  <c r="D75"/>
  <c r="M74"/>
  <c r="M77" s="1"/>
  <c r="G74"/>
  <c r="D74"/>
  <c r="U70"/>
  <c r="W70" s="1"/>
  <c r="U69"/>
  <c r="W69" s="1"/>
  <c r="W54"/>
  <c r="U54"/>
  <c r="Q54"/>
  <c r="P54"/>
  <c r="O54"/>
  <c r="M54"/>
  <c r="L54"/>
  <c r="N53"/>
  <c r="R53" s="1"/>
  <c r="X53" s="1"/>
  <c r="X52"/>
  <c r="R52"/>
  <c r="T52" s="1"/>
  <c r="N52"/>
  <c r="V51"/>
  <c r="T51"/>
  <c r="R51"/>
  <c r="X51" s="1"/>
  <c r="N51"/>
  <c r="N50"/>
  <c r="R50" s="1"/>
  <c r="S49"/>
  <c r="R49"/>
  <c r="N49"/>
  <c r="K48"/>
  <c r="N48" s="1"/>
  <c r="R48" s="1"/>
  <c r="T47"/>
  <c r="R47"/>
  <c r="N47"/>
  <c r="K46"/>
  <c r="N46" s="1"/>
  <c r="R46" s="1"/>
  <c r="R45"/>
  <c r="N45"/>
  <c r="N44"/>
  <c r="R44" s="1"/>
  <c r="V43"/>
  <c r="T43"/>
  <c r="R43"/>
  <c r="X43" s="1"/>
  <c r="N43"/>
  <c r="X42"/>
  <c r="V42"/>
  <c r="K42"/>
  <c r="N42" s="1"/>
  <c r="R42" s="1"/>
  <c r="T42" s="1"/>
  <c r="X41"/>
  <c r="R41"/>
  <c r="T41" s="1"/>
  <c r="N41"/>
  <c r="V40"/>
  <c r="T40"/>
  <c r="R40"/>
  <c r="X40" s="1"/>
  <c r="N40"/>
  <c r="N39"/>
  <c r="R39" s="1"/>
  <c r="N38"/>
  <c r="R38" s="1"/>
  <c r="N37"/>
  <c r="R37" s="1"/>
  <c r="N36"/>
  <c r="R36" s="1"/>
  <c r="V35"/>
  <c r="N35"/>
  <c r="R35" s="1"/>
  <c r="T35" s="1"/>
  <c r="U34"/>
  <c r="S34"/>
  <c r="K34"/>
  <c r="N34" s="1"/>
  <c r="R34" s="1"/>
  <c r="N33"/>
  <c r="R33" s="1"/>
  <c r="X33" s="1"/>
  <c r="X32"/>
  <c r="R32"/>
  <c r="T32" s="1"/>
  <c r="N32"/>
  <c r="V31"/>
  <c r="T31"/>
  <c r="R31"/>
  <c r="X31" s="1"/>
  <c r="N31"/>
  <c r="N30"/>
  <c r="Q27"/>
  <c r="Q55" s="1"/>
  <c r="N74" s="1"/>
  <c r="P27"/>
  <c r="P55" s="1"/>
  <c r="O27"/>
  <c r="O55" s="1"/>
  <c r="M27"/>
  <c r="M55" s="1"/>
  <c r="L27"/>
  <c r="L55" s="1"/>
  <c r="V26"/>
  <c r="T26"/>
  <c r="R26"/>
  <c r="X26" s="1"/>
  <c r="N26"/>
  <c r="N25"/>
  <c r="R25" s="1"/>
  <c r="W24"/>
  <c r="W27" s="1"/>
  <c r="W55" s="1"/>
  <c r="U24"/>
  <c r="U68" s="1"/>
  <c r="S24"/>
  <c r="S27" s="1"/>
  <c r="K24"/>
  <c r="K27" s="1"/>
  <c r="X23"/>
  <c r="R23"/>
  <c r="T23" s="1"/>
  <c r="N23"/>
  <c r="V22"/>
  <c r="T22"/>
  <c r="R22"/>
  <c r="X22" s="1"/>
  <c r="N22"/>
  <c r="N21"/>
  <c r="R21" s="1"/>
  <c r="R20"/>
  <c r="N20"/>
  <c r="N19"/>
  <c r="R19" s="1"/>
  <c r="V18"/>
  <c r="T18"/>
  <c r="R18"/>
  <c r="X18" s="1"/>
  <c r="N18"/>
  <c r="X17"/>
  <c r="V17"/>
  <c r="T17"/>
  <c r="R17"/>
  <c r="N17"/>
  <c r="N16"/>
  <c r="R16" s="1"/>
  <c r="R15"/>
  <c r="T15" s="1"/>
  <c r="N15"/>
  <c r="R14"/>
  <c r="T14" s="1"/>
  <c r="N14"/>
  <c r="S86" i="24"/>
  <c r="Q85"/>
  <c r="P85"/>
  <c r="O85"/>
  <c r="V84"/>
  <c r="T84"/>
  <c r="R84"/>
  <c r="X84" s="1"/>
  <c r="N84"/>
  <c r="N83"/>
  <c r="R83" s="1"/>
  <c r="R82"/>
  <c r="N82"/>
  <c r="N81"/>
  <c r="R81" s="1"/>
  <c r="W80"/>
  <c r="U80"/>
  <c r="S80"/>
  <c r="S79" s="1"/>
  <c r="R80"/>
  <c r="N80"/>
  <c r="L80"/>
  <c r="K80"/>
  <c r="W79"/>
  <c r="U79"/>
  <c r="N79"/>
  <c r="R79" s="1"/>
  <c r="L79"/>
  <c r="N78"/>
  <c r="R78" s="1"/>
  <c r="U77"/>
  <c r="U76" s="1"/>
  <c r="S77"/>
  <c r="N77"/>
  <c r="R77" s="1"/>
  <c r="M77"/>
  <c r="L77"/>
  <c r="W76"/>
  <c r="S76"/>
  <c r="M76"/>
  <c r="L76"/>
  <c r="K76"/>
  <c r="W75"/>
  <c r="U75"/>
  <c r="V75" s="1"/>
  <c r="S75"/>
  <c r="R75"/>
  <c r="T75" s="1"/>
  <c r="N75"/>
  <c r="L75"/>
  <c r="X74"/>
  <c r="W74"/>
  <c r="S74"/>
  <c r="L74"/>
  <c r="N74" s="1"/>
  <c r="R74" s="1"/>
  <c r="R73"/>
  <c r="N73"/>
  <c r="N72"/>
  <c r="R72" s="1"/>
  <c r="W71"/>
  <c r="U71"/>
  <c r="S71"/>
  <c r="R71"/>
  <c r="N71"/>
  <c r="M71"/>
  <c r="M85" s="1"/>
  <c r="M86" s="1"/>
  <c r="K71"/>
  <c r="N70"/>
  <c r="R70" s="1"/>
  <c r="R69"/>
  <c r="N69"/>
  <c r="R68"/>
  <c r="T68" s="1"/>
  <c r="N68"/>
  <c r="N67"/>
  <c r="R67" s="1"/>
  <c r="N66"/>
  <c r="R66" s="1"/>
  <c r="X66" s="1"/>
  <c r="W65"/>
  <c r="U65"/>
  <c r="S65"/>
  <c r="N65"/>
  <c r="R65" s="1"/>
  <c r="L65"/>
  <c r="L64" s="1"/>
  <c r="N64" s="1"/>
  <c r="R64" s="1"/>
  <c r="W64"/>
  <c r="U64"/>
  <c r="S64"/>
  <c r="W63"/>
  <c r="W62" s="1"/>
  <c r="U63"/>
  <c r="S63"/>
  <c r="S62" s="1"/>
  <c r="K63"/>
  <c r="N63" s="1"/>
  <c r="R63" s="1"/>
  <c r="X63" s="1"/>
  <c r="U62"/>
  <c r="U106" s="1"/>
  <c r="L62"/>
  <c r="K62"/>
  <c r="N62" s="1"/>
  <c r="R62" s="1"/>
  <c r="V61"/>
  <c r="T61"/>
  <c r="R61"/>
  <c r="X61" s="1"/>
  <c r="N61"/>
  <c r="V60"/>
  <c r="N60"/>
  <c r="R60" s="1"/>
  <c r="T60" s="1"/>
  <c r="N59"/>
  <c r="R59" s="1"/>
  <c r="T58"/>
  <c r="R58"/>
  <c r="N58"/>
  <c r="R57"/>
  <c r="T57" s="1"/>
  <c r="N57"/>
  <c r="N56"/>
  <c r="R56" s="1"/>
  <c r="N55"/>
  <c r="R55" s="1"/>
  <c r="X55" s="1"/>
  <c r="X54"/>
  <c r="R54"/>
  <c r="T54" s="1"/>
  <c r="N54"/>
  <c r="V53"/>
  <c r="T53"/>
  <c r="R53"/>
  <c r="X53" s="1"/>
  <c r="N53"/>
  <c r="N52"/>
  <c r="R52" s="1"/>
  <c r="R51"/>
  <c r="N51"/>
  <c r="N50"/>
  <c r="R50" s="1"/>
  <c r="W49"/>
  <c r="U49"/>
  <c r="U48" s="1"/>
  <c r="S49"/>
  <c r="S48" s="1"/>
  <c r="R49"/>
  <c r="N49"/>
  <c r="L49"/>
  <c r="W48"/>
  <c r="L48"/>
  <c r="N48" s="1"/>
  <c r="R48" s="1"/>
  <c r="X47"/>
  <c r="W47"/>
  <c r="W46" s="1"/>
  <c r="U47"/>
  <c r="S47"/>
  <c r="S46" s="1"/>
  <c r="S85" s="1"/>
  <c r="K47"/>
  <c r="N47" s="1"/>
  <c r="R47" s="1"/>
  <c r="U46"/>
  <c r="K46"/>
  <c r="K85" s="1"/>
  <c r="T45"/>
  <c r="R45"/>
  <c r="V45" s="1"/>
  <c r="N45"/>
  <c r="V44"/>
  <c r="N44"/>
  <c r="R44" s="1"/>
  <c r="T44" s="1"/>
  <c r="N43"/>
  <c r="R43" s="1"/>
  <c r="T42"/>
  <c r="R42"/>
  <c r="N42"/>
  <c r="R41"/>
  <c r="T41" s="1"/>
  <c r="N41"/>
  <c r="N40"/>
  <c r="R40" s="1"/>
  <c r="X39"/>
  <c r="N39"/>
  <c r="R39" s="1"/>
  <c r="X38"/>
  <c r="R38"/>
  <c r="T38" s="1"/>
  <c r="N38"/>
  <c r="W37"/>
  <c r="W85" s="1"/>
  <c r="V37"/>
  <c r="U37"/>
  <c r="S37"/>
  <c r="N37"/>
  <c r="R37" s="1"/>
  <c r="L37"/>
  <c r="N36"/>
  <c r="R36" s="1"/>
  <c r="X35"/>
  <c r="N35"/>
  <c r="R35" s="1"/>
  <c r="X34"/>
  <c r="R34"/>
  <c r="T34" s="1"/>
  <c r="N34"/>
  <c r="V33"/>
  <c r="T33"/>
  <c r="R33"/>
  <c r="X33" s="1"/>
  <c r="N33"/>
  <c r="W30"/>
  <c r="P30"/>
  <c r="P86" s="1"/>
  <c r="O30"/>
  <c r="O86" s="1"/>
  <c r="M30"/>
  <c r="L30"/>
  <c r="X29"/>
  <c r="R29"/>
  <c r="T29" s="1"/>
  <c r="N29"/>
  <c r="V28"/>
  <c r="T28"/>
  <c r="R28"/>
  <c r="X28" s="1"/>
  <c r="N28"/>
  <c r="V27"/>
  <c r="T27"/>
  <c r="R27"/>
  <c r="X27" s="1"/>
  <c r="N27"/>
  <c r="W26"/>
  <c r="U26"/>
  <c r="T26"/>
  <c r="S26"/>
  <c r="S25" s="1"/>
  <c r="S30" s="1"/>
  <c r="K26"/>
  <c r="N26" s="1"/>
  <c r="R26" s="1"/>
  <c r="W25"/>
  <c r="Q25"/>
  <c r="Q30" s="1"/>
  <c r="Q86" s="1"/>
  <c r="V24"/>
  <c r="T24"/>
  <c r="R24"/>
  <c r="X24" s="1"/>
  <c r="N24"/>
  <c r="N23"/>
  <c r="R23" s="1"/>
  <c r="N22"/>
  <c r="R22" s="1"/>
  <c r="X21"/>
  <c r="T21"/>
  <c r="R21"/>
  <c r="V21" s="1"/>
  <c r="N21"/>
  <c r="N20"/>
  <c r="R20" s="1"/>
  <c r="T20" s="1"/>
  <c r="N19"/>
  <c r="R19" s="1"/>
  <c r="T18"/>
  <c r="R18"/>
  <c r="N18"/>
  <c r="R17"/>
  <c r="T17" s="1"/>
  <c r="N17"/>
  <c r="N16"/>
  <c r="R16" s="1"/>
  <c r="X15"/>
  <c r="N15"/>
  <c r="R15" s="1"/>
  <c r="M110" i="2"/>
  <c r="M109"/>
  <c r="N109" s="1"/>
  <c r="M106"/>
  <c r="M104"/>
  <c r="N103"/>
  <c r="M103"/>
  <c r="U100"/>
  <c r="M100"/>
  <c r="U99"/>
  <c r="U101" s="1"/>
  <c r="D99"/>
  <c r="M98"/>
  <c r="D98"/>
  <c r="M97"/>
  <c r="W93"/>
  <c r="U93"/>
  <c r="M78"/>
  <c r="W77"/>
  <c r="U77"/>
  <c r="Q77"/>
  <c r="P77"/>
  <c r="O77"/>
  <c r="M77"/>
  <c r="L77"/>
  <c r="L78" s="1"/>
  <c r="X76"/>
  <c r="V76"/>
  <c r="T76"/>
  <c r="R76"/>
  <c r="N76"/>
  <c r="N75"/>
  <c r="R75" s="1"/>
  <c r="T74"/>
  <c r="R74"/>
  <c r="V74" s="1"/>
  <c r="N74"/>
  <c r="N73"/>
  <c r="R73" s="1"/>
  <c r="K73"/>
  <c r="S72"/>
  <c r="R72"/>
  <c r="T72" s="1"/>
  <c r="N72"/>
  <c r="K72"/>
  <c r="R71"/>
  <c r="T71" s="1"/>
  <c r="N71"/>
  <c r="R70"/>
  <c r="T70" s="1"/>
  <c r="N70"/>
  <c r="N69"/>
  <c r="R69" s="1"/>
  <c r="S68"/>
  <c r="N68"/>
  <c r="R68" s="1"/>
  <c r="K68"/>
  <c r="N67"/>
  <c r="R67" s="1"/>
  <c r="X66"/>
  <c r="T66"/>
  <c r="R66"/>
  <c r="V66" s="1"/>
  <c r="N66"/>
  <c r="X65"/>
  <c r="V65"/>
  <c r="T65"/>
  <c r="R65"/>
  <c r="N65"/>
  <c r="N64"/>
  <c r="R64" s="1"/>
  <c r="T63"/>
  <c r="R63"/>
  <c r="V63" s="1"/>
  <c r="N63"/>
  <c r="N62"/>
  <c r="R62" s="1"/>
  <c r="S61"/>
  <c r="S60" s="1"/>
  <c r="R61"/>
  <c r="T61" s="1"/>
  <c r="N61"/>
  <c r="N60"/>
  <c r="R60" s="1"/>
  <c r="K60"/>
  <c r="R59"/>
  <c r="T59" s="1"/>
  <c r="N59"/>
  <c r="N58"/>
  <c r="R58" s="1"/>
  <c r="X57"/>
  <c r="T57"/>
  <c r="R57"/>
  <c r="V57" s="1"/>
  <c r="N57"/>
  <c r="X56"/>
  <c r="V56"/>
  <c r="T56"/>
  <c r="R56"/>
  <c r="N56"/>
  <c r="N55"/>
  <c r="R55" s="1"/>
  <c r="T54"/>
  <c r="R54"/>
  <c r="V54" s="1"/>
  <c r="N54"/>
  <c r="N53"/>
  <c r="R53" s="1"/>
  <c r="N52"/>
  <c r="R52" s="1"/>
  <c r="X51"/>
  <c r="V51"/>
  <c r="T51"/>
  <c r="R51"/>
  <c r="N51"/>
  <c r="V50"/>
  <c r="R50"/>
  <c r="T50" s="1"/>
  <c r="N50"/>
  <c r="V49"/>
  <c r="T49"/>
  <c r="R49"/>
  <c r="X49" s="1"/>
  <c r="N49"/>
  <c r="R48"/>
  <c r="T48" s="1"/>
  <c r="N48"/>
  <c r="U47"/>
  <c r="U92" s="1"/>
  <c r="W92" s="1"/>
  <c r="T47"/>
  <c r="S47"/>
  <c r="G98" s="1"/>
  <c r="R47"/>
  <c r="V47" s="1"/>
  <c r="N47"/>
  <c r="K47"/>
  <c r="K77" s="1"/>
  <c r="N46"/>
  <c r="R46" s="1"/>
  <c r="T45"/>
  <c r="R45"/>
  <c r="V45" s="1"/>
  <c r="N45"/>
  <c r="N44"/>
  <c r="R44" s="1"/>
  <c r="N43"/>
  <c r="R43" s="1"/>
  <c r="S42"/>
  <c r="G99" s="1"/>
  <c r="N42"/>
  <c r="R42" s="1"/>
  <c r="X41"/>
  <c r="T41"/>
  <c r="R41"/>
  <c r="V41" s="1"/>
  <c r="N41"/>
  <c r="X40"/>
  <c r="V40"/>
  <c r="T40"/>
  <c r="R40"/>
  <c r="N40"/>
  <c r="N39"/>
  <c r="R39" s="1"/>
  <c r="T38"/>
  <c r="R38"/>
  <c r="V38" s="1"/>
  <c r="N38"/>
  <c r="N37"/>
  <c r="R37" s="1"/>
  <c r="N36"/>
  <c r="R36" s="1"/>
  <c r="X35"/>
  <c r="V35"/>
  <c r="T35"/>
  <c r="R35"/>
  <c r="N35"/>
  <c r="V34"/>
  <c r="R34"/>
  <c r="T34" s="1"/>
  <c r="N34"/>
  <c r="N77" s="1"/>
  <c r="W31"/>
  <c r="W78" s="1"/>
  <c r="Q31"/>
  <c r="Q78" s="1"/>
  <c r="P31"/>
  <c r="P78" s="1"/>
  <c r="O31"/>
  <c r="O78" s="1"/>
  <c r="M31"/>
  <c r="L31"/>
  <c r="K31"/>
  <c r="X30"/>
  <c r="V30"/>
  <c r="R30"/>
  <c r="T30" s="1"/>
  <c r="N30"/>
  <c r="V29"/>
  <c r="R29"/>
  <c r="T29" s="1"/>
  <c r="N29"/>
  <c r="V28"/>
  <c r="T28"/>
  <c r="R28"/>
  <c r="X28" s="1"/>
  <c r="N28"/>
  <c r="R27"/>
  <c r="T27" s="1"/>
  <c r="N27"/>
  <c r="W26"/>
  <c r="D97" s="1"/>
  <c r="U26"/>
  <c r="U91" s="1"/>
  <c r="S26"/>
  <c r="G97" s="1"/>
  <c r="N26"/>
  <c r="R26" s="1"/>
  <c r="K26"/>
  <c r="V25"/>
  <c r="R25"/>
  <c r="T25" s="1"/>
  <c r="N25"/>
  <c r="V24"/>
  <c r="T24"/>
  <c r="R24"/>
  <c r="X24" s="1"/>
  <c r="N24"/>
  <c r="R23"/>
  <c r="T23" s="1"/>
  <c r="N23"/>
  <c r="R22"/>
  <c r="T22" s="1"/>
  <c r="N22"/>
  <c r="N21"/>
  <c r="R21" s="1"/>
  <c r="X20"/>
  <c r="T20"/>
  <c r="R20"/>
  <c r="V20" s="1"/>
  <c r="N20"/>
  <c r="N19"/>
  <c r="R19" s="1"/>
  <c r="N18"/>
  <c r="R18" s="1"/>
  <c r="T17"/>
  <c r="R17"/>
  <c r="V17" s="1"/>
  <c r="N17"/>
  <c r="N16"/>
  <c r="R16" s="1"/>
  <c r="N15"/>
  <c r="R15" s="1"/>
  <c r="M107" i="1"/>
  <c r="M105"/>
  <c r="N104" s="1"/>
  <c r="M104"/>
  <c r="M99"/>
  <c r="M98"/>
  <c r="N98" s="1"/>
  <c r="U95"/>
  <c r="M95"/>
  <c r="U94"/>
  <c r="U96" s="1"/>
  <c r="G94"/>
  <c r="D94"/>
  <c r="M93"/>
  <c r="D93"/>
  <c r="M92"/>
  <c r="W88"/>
  <c r="U88"/>
  <c r="U87"/>
  <c r="W87" s="1"/>
  <c r="O73"/>
  <c r="L73"/>
  <c r="W72"/>
  <c r="U72"/>
  <c r="Q72"/>
  <c r="P72"/>
  <c r="O72"/>
  <c r="L72"/>
  <c r="V71"/>
  <c r="T71"/>
  <c r="R71"/>
  <c r="X71" s="1"/>
  <c r="N71"/>
  <c r="R70"/>
  <c r="T70" s="1"/>
  <c r="N70"/>
  <c r="R69"/>
  <c r="T69" s="1"/>
  <c r="N69"/>
  <c r="N68"/>
  <c r="R68" s="1"/>
  <c r="K67"/>
  <c r="N67" s="1"/>
  <c r="R67" s="1"/>
  <c r="X66"/>
  <c r="V66"/>
  <c r="R66"/>
  <c r="T66" s="1"/>
  <c r="N66"/>
  <c r="V65"/>
  <c r="R65"/>
  <c r="T65" s="1"/>
  <c r="N65"/>
  <c r="V64"/>
  <c r="T64"/>
  <c r="R64"/>
  <c r="X64" s="1"/>
  <c r="N64"/>
  <c r="S63"/>
  <c r="N63"/>
  <c r="R63" s="1"/>
  <c r="K63"/>
  <c r="V62"/>
  <c r="T62"/>
  <c r="R62"/>
  <c r="X62" s="1"/>
  <c r="N62"/>
  <c r="R61"/>
  <c r="T61" s="1"/>
  <c r="N61"/>
  <c r="R60"/>
  <c r="T60" s="1"/>
  <c r="N60"/>
  <c r="N59"/>
  <c r="R59" s="1"/>
  <c r="X58"/>
  <c r="T58"/>
  <c r="R58"/>
  <c r="V58" s="1"/>
  <c r="N58"/>
  <c r="N57"/>
  <c r="R57" s="1"/>
  <c r="N56"/>
  <c r="R56" s="1"/>
  <c r="S55"/>
  <c r="S72" s="1"/>
  <c r="M55"/>
  <c r="L55"/>
  <c r="K55"/>
  <c r="N55" s="1"/>
  <c r="R55" s="1"/>
  <c r="X54"/>
  <c r="T54"/>
  <c r="R54"/>
  <c r="V54" s="1"/>
  <c r="N54"/>
  <c r="N53"/>
  <c r="R53" s="1"/>
  <c r="N52"/>
  <c r="R52" s="1"/>
  <c r="T51"/>
  <c r="R51"/>
  <c r="V51" s="1"/>
  <c r="N51"/>
  <c r="N50"/>
  <c r="R50" s="1"/>
  <c r="N49"/>
  <c r="R49" s="1"/>
  <c r="X48"/>
  <c r="V48"/>
  <c r="R48"/>
  <c r="T48" s="1"/>
  <c r="N48"/>
  <c r="V47"/>
  <c r="R47"/>
  <c r="T47" s="1"/>
  <c r="N47"/>
  <c r="V46"/>
  <c r="T46"/>
  <c r="R46"/>
  <c r="X46" s="1"/>
  <c r="N46"/>
  <c r="R45"/>
  <c r="T45" s="1"/>
  <c r="N45"/>
  <c r="R44"/>
  <c r="T44" s="1"/>
  <c r="N44"/>
  <c r="K44"/>
  <c r="K43" s="1"/>
  <c r="S43"/>
  <c r="M43"/>
  <c r="M72" s="1"/>
  <c r="L43"/>
  <c r="N42"/>
  <c r="R42" s="1"/>
  <c r="N41"/>
  <c r="R41" s="1"/>
  <c r="T40"/>
  <c r="R40"/>
  <c r="V40" s="1"/>
  <c r="N40"/>
  <c r="N39"/>
  <c r="R39" s="1"/>
  <c r="N38"/>
  <c r="R38" s="1"/>
  <c r="X37"/>
  <c r="V37"/>
  <c r="R37"/>
  <c r="T37" s="1"/>
  <c r="N37"/>
  <c r="V36"/>
  <c r="R36"/>
  <c r="T36" s="1"/>
  <c r="N36"/>
  <c r="V35"/>
  <c r="T35"/>
  <c r="R35"/>
  <c r="X35" s="1"/>
  <c r="N35"/>
  <c r="R34"/>
  <c r="T34" s="1"/>
  <c r="N34"/>
  <c r="R33"/>
  <c r="T33" s="1"/>
  <c r="N33"/>
  <c r="Q30"/>
  <c r="Q73" s="1"/>
  <c r="N92" s="1"/>
  <c r="P30"/>
  <c r="P73" s="1"/>
  <c r="O30"/>
  <c r="M30"/>
  <c r="M73" s="1"/>
  <c r="L30"/>
  <c r="R29"/>
  <c r="T29" s="1"/>
  <c r="N29"/>
  <c r="R28"/>
  <c r="T28" s="1"/>
  <c r="N28"/>
  <c r="N27"/>
  <c r="R27" s="1"/>
  <c r="S26"/>
  <c r="G93" s="1"/>
  <c r="N26"/>
  <c r="R26" s="1"/>
  <c r="K26"/>
  <c r="K25" s="1"/>
  <c r="W25"/>
  <c r="W30" s="1"/>
  <c r="W73" s="1"/>
  <c r="U25"/>
  <c r="S25"/>
  <c r="V24"/>
  <c r="T24"/>
  <c r="R24"/>
  <c r="X24" s="1"/>
  <c r="N24"/>
  <c r="R23"/>
  <c r="T23" s="1"/>
  <c r="N23"/>
  <c r="R22"/>
  <c r="T22" s="1"/>
  <c r="N22"/>
  <c r="N21"/>
  <c r="R21" s="1"/>
  <c r="W20"/>
  <c r="D92" s="1"/>
  <c r="U20"/>
  <c r="U86" s="1"/>
  <c r="S20"/>
  <c r="G92" s="1"/>
  <c r="R20"/>
  <c r="T20" s="1"/>
  <c r="N20"/>
  <c r="N19"/>
  <c r="R19" s="1"/>
  <c r="N18"/>
  <c r="R18" s="1"/>
  <c r="N17"/>
  <c r="R17" s="1"/>
  <c r="N16"/>
  <c r="R16" s="1"/>
  <c r="V15"/>
  <c r="T15"/>
  <c r="R15"/>
  <c r="X15" s="1"/>
  <c r="N15"/>
  <c r="X57" i="36" l="1"/>
  <c r="T57"/>
  <c r="V57"/>
  <c r="L39"/>
  <c r="L85" s="1"/>
  <c r="T24"/>
  <c r="W84"/>
  <c r="N76"/>
  <c r="R76" s="1"/>
  <c r="X82"/>
  <c r="N36"/>
  <c r="R36" s="1"/>
  <c r="X36" s="1"/>
  <c r="N72"/>
  <c r="R72" s="1"/>
  <c r="V82"/>
  <c r="N32"/>
  <c r="R32" s="1"/>
  <c r="X32" s="1"/>
  <c r="P85"/>
  <c r="O85"/>
  <c r="V24"/>
  <c r="V42" i="1"/>
  <c r="T42"/>
  <c r="X42"/>
  <c r="T60" i="2"/>
  <c r="V60"/>
  <c r="X60"/>
  <c r="T36"/>
  <c r="V36"/>
  <c r="X36"/>
  <c r="T64"/>
  <c r="V64"/>
  <c r="X64"/>
  <c r="T73"/>
  <c r="V73"/>
  <c r="X73"/>
  <c r="T37"/>
  <c r="V37"/>
  <c r="X37"/>
  <c r="T55"/>
  <c r="V55"/>
  <c r="X55"/>
  <c r="T69"/>
  <c r="V69"/>
  <c r="X69"/>
  <c r="T50" i="1"/>
  <c r="V50"/>
  <c r="X50"/>
  <c r="T19"/>
  <c r="V19"/>
  <c r="X19"/>
  <c r="T49"/>
  <c r="V49"/>
  <c r="X49"/>
  <c r="X19" i="2"/>
  <c r="T19"/>
  <c r="V19"/>
  <c r="T46"/>
  <c r="V46"/>
  <c r="X46"/>
  <c r="T58"/>
  <c r="V58"/>
  <c r="X58"/>
  <c r="T68"/>
  <c r="V68"/>
  <c r="X68"/>
  <c r="T18" i="1"/>
  <c r="V18"/>
  <c r="X18"/>
  <c r="T39"/>
  <c r="V39"/>
  <c r="X39"/>
  <c r="V55"/>
  <c r="X55"/>
  <c r="T55"/>
  <c r="T18" i="2"/>
  <c r="V18"/>
  <c r="X18"/>
  <c r="K78"/>
  <c r="X17" i="1"/>
  <c r="V17"/>
  <c r="T17"/>
  <c r="T38"/>
  <c r="V38"/>
  <c r="X38"/>
  <c r="T53" i="2"/>
  <c r="V53"/>
  <c r="X53"/>
  <c r="T67"/>
  <c r="V67"/>
  <c r="X67"/>
  <c r="W86" i="1"/>
  <c r="W91" s="1"/>
  <c r="U91"/>
  <c r="T41"/>
  <c r="V41"/>
  <c r="X41"/>
  <c r="T68"/>
  <c r="V68"/>
  <c r="X68"/>
  <c r="T52" i="2"/>
  <c r="V52"/>
  <c r="X52"/>
  <c r="U96"/>
  <c r="W91"/>
  <c r="W96" s="1"/>
  <c r="T44"/>
  <c r="V44"/>
  <c r="X44"/>
  <c r="T63" i="1"/>
  <c r="V63"/>
  <c r="X63"/>
  <c r="T16" i="2"/>
  <c r="V16"/>
  <c r="X16"/>
  <c r="T39"/>
  <c r="V39"/>
  <c r="X39"/>
  <c r="T43"/>
  <c r="V43"/>
  <c r="X43"/>
  <c r="N97"/>
  <c r="N113" s="1"/>
  <c r="X57" i="1"/>
  <c r="V57"/>
  <c r="T57"/>
  <c r="T75" i="2"/>
  <c r="V75"/>
  <c r="X75"/>
  <c r="T56" i="1"/>
  <c r="V56"/>
  <c r="X56"/>
  <c r="T16"/>
  <c r="V16"/>
  <c r="X16"/>
  <c r="T67"/>
  <c r="V67"/>
  <c r="X67"/>
  <c r="N72"/>
  <c r="T27"/>
  <c r="V27"/>
  <c r="X27"/>
  <c r="X59"/>
  <c r="T59"/>
  <c r="V59"/>
  <c r="K72"/>
  <c r="N43"/>
  <c r="R43" s="1"/>
  <c r="T62" i="2"/>
  <c r="V62"/>
  <c r="X62"/>
  <c r="T26" i="1"/>
  <c r="V26"/>
  <c r="X26"/>
  <c r="T21"/>
  <c r="X21"/>
  <c r="V21"/>
  <c r="N25"/>
  <c r="R25" s="1"/>
  <c r="K30"/>
  <c r="K73" s="1"/>
  <c r="V53"/>
  <c r="X53"/>
  <c r="T53"/>
  <c r="T15" i="2"/>
  <c r="V15"/>
  <c r="X15"/>
  <c r="R31"/>
  <c r="V26"/>
  <c r="T26"/>
  <c r="X26"/>
  <c r="T52" i="1"/>
  <c r="V52"/>
  <c r="X52"/>
  <c r="T21" i="2"/>
  <c r="V21"/>
  <c r="X21"/>
  <c r="T42"/>
  <c r="V42"/>
  <c r="X42"/>
  <c r="N108" i="1"/>
  <c r="T38" i="25"/>
  <c r="V38"/>
  <c r="X38"/>
  <c r="T64" i="24"/>
  <c r="V64"/>
  <c r="X64"/>
  <c r="U31" i="2"/>
  <c r="U78" s="1"/>
  <c r="R72" i="1"/>
  <c r="S77" i="2"/>
  <c r="M112"/>
  <c r="X23" i="1"/>
  <c r="X29"/>
  <c r="X34"/>
  <c r="X45"/>
  <c r="X61"/>
  <c r="X70"/>
  <c r="X23" i="2"/>
  <c r="X27"/>
  <c r="S31"/>
  <c r="X48"/>
  <c r="X71"/>
  <c r="R77"/>
  <c r="T65" i="24"/>
  <c r="V65"/>
  <c r="X65"/>
  <c r="V23" i="1"/>
  <c r="V29"/>
  <c r="U30"/>
  <c r="U73" s="1"/>
  <c r="V34"/>
  <c r="V45"/>
  <c r="V61"/>
  <c r="V70"/>
  <c r="V23" i="2"/>
  <c r="V27"/>
  <c r="V48"/>
  <c r="V71"/>
  <c r="X36" i="1"/>
  <c r="X47"/>
  <c r="X65"/>
  <c r="M101"/>
  <c r="X25" i="2"/>
  <c r="X29"/>
  <c r="X34"/>
  <c r="X50"/>
  <c r="N30" i="1"/>
  <c r="R30"/>
  <c r="X61" i="2"/>
  <c r="X20" i="1"/>
  <c r="V20"/>
  <c r="X22"/>
  <c r="X28"/>
  <c r="X33"/>
  <c r="X22" i="2"/>
  <c r="N31"/>
  <c r="N78" s="1"/>
  <c r="X47"/>
  <c r="X59"/>
  <c r="V61"/>
  <c r="X70"/>
  <c r="X72"/>
  <c r="S30" i="1"/>
  <c r="S73" s="1"/>
  <c r="X44"/>
  <c r="X60"/>
  <c r="X69"/>
  <c r="V28"/>
  <c r="X40"/>
  <c r="V44"/>
  <c r="X51"/>
  <c r="X17" i="2"/>
  <c r="X38"/>
  <c r="X45"/>
  <c r="X54"/>
  <c r="V59"/>
  <c r="X63"/>
  <c r="V70"/>
  <c r="V72"/>
  <c r="X74"/>
  <c r="V22" i="1"/>
  <c r="V33"/>
  <c r="V60"/>
  <c r="V69"/>
  <c r="V22" i="2"/>
  <c r="V69" i="24"/>
  <c r="X69"/>
  <c r="T69"/>
  <c r="T23"/>
  <c r="V23"/>
  <c r="X23"/>
  <c r="T73"/>
  <c r="V73"/>
  <c r="X73"/>
  <c r="T22"/>
  <c r="V22"/>
  <c r="X22"/>
  <c r="T79"/>
  <c r="V79"/>
  <c r="X79"/>
  <c r="T82"/>
  <c r="V82"/>
  <c r="X82"/>
  <c r="T46" i="25"/>
  <c r="V46"/>
  <c r="X46"/>
  <c r="T52" i="24"/>
  <c r="V52"/>
  <c r="X52"/>
  <c r="T77"/>
  <c r="V77"/>
  <c r="X77"/>
  <c r="V42" i="36"/>
  <c r="X42"/>
  <c r="T42"/>
  <c r="V48"/>
  <c r="X48"/>
  <c r="V62" i="24"/>
  <c r="X62"/>
  <c r="T62"/>
  <c r="T51"/>
  <c r="V51"/>
  <c r="X51"/>
  <c r="T45" i="25"/>
  <c r="V45"/>
  <c r="X45"/>
  <c r="N76" i="24"/>
  <c r="R76" s="1"/>
  <c r="T16"/>
  <c r="V16"/>
  <c r="X16"/>
  <c r="V26"/>
  <c r="X26"/>
  <c r="T43"/>
  <c r="V43"/>
  <c r="X43"/>
  <c r="T56"/>
  <c r="V56"/>
  <c r="X56"/>
  <c r="T72"/>
  <c r="V72"/>
  <c r="X72"/>
  <c r="T78"/>
  <c r="V78"/>
  <c r="X78"/>
  <c r="T81"/>
  <c r="V81"/>
  <c r="X81"/>
  <c r="T25" i="25"/>
  <c r="V25"/>
  <c r="X25"/>
  <c r="N54"/>
  <c r="T50" i="24"/>
  <c r="V50"/>
  <c r="X50"/>
  <c r="T21" i="25"/>
  <c r="V21"/>
  <c r="X21"/>
  <c r="T44"/>
  <c r="V44"/>
  <c r="X44"/>
  <c r="T66" i="36"/>
  <c r="V66"/>
  <c r="X66"/>
  <c r="U27" i="25"/>
  <c r="U55" s="1"/>
  <c r="T15" i="24"/>
  <c r="V15"/>
  <c r="V42"/>
  <c r="X42"/>
  <c r="T47"/>
  <c r="V47"/>
  <c r="T55"/>
  <c r="V55"/>
  <c r="T67"/>
  <c r="V67"/>
  <c r="X67"/>
  <c r="T16" i="25"/>
  <c r="V16"/>
  <c r="X16"/>
  <c r="T20"/>
  <c r="V20"/>
  <c r="X20"/>
  <c r="W68"/>
  <c r="U73"/>
  <c r="T34"/>
  <c r="V34"/>
  <c r="X34"/>
  <c r="T50"/>
  <c r="V50"/>
  <c r="X50"/>
  <c r="T77" i="36"/>
  <c r="V77"/>
  <c r="X77"/>
  <c r="S48" i="25"/>
  <c r="T48" s="1"/>
  <c r="G76"/>
  <c r="X20" i="24"/>
  <c r="X60"/>
  <c r="X37"/>
  <c r="T37"/>
  <c r="T66"/>
  <c r="V66"/>
  <c r="T71"/>
  <c r="V71"/>
  <c r="X71"/>
  <c r="T80"/>
  <c r="V80"/>
  <c r="X80"/>
  <c r="V15" i="25"/>
  <c r="X15"/>
  <c r="T19"/>
  <c r="V19"/>
  <c r="X19"/>
  <c r="T33"/>
  <c r="V33"/>
  <c r="T39"/>
  <c r="V39"/>
  <c r="X39"/>
  <c r="T49"/>
  <c r="V49"/>
  <c r="X49"/>
  <c r="V20" i="24"/>
  <c r="W86"/>
  <c r="K54" i="25"/>
  <c r="T49" i="24"/>
  <c r="V49"/>
  <c r="X49"/>
  <c r="L85"/>
  <c r="L86" s="1"/>
  <c r="K55" i="25"/>
  <c r="T19" i="24"/>
  <c r="V19"/>
  <c r="X19"/>
  <c r="T36"/>
  <c r="V36"/>
  <c r="X36"/>
  <c r="T40"/>
  <c r="V40"/>
  <c r="X40"/>
  <c r="T59"/>
  <c r="V59"/>
  <c r="X59"/>
  <c r="T63"/>
  <c r="V63"/>
  <c r="V48" i="25"/>
  <c r="X48"/>
  <c r="T53"/>
  <c r="V53"/>
  <c r="N80"/>
  <c r="N90" s="1"/>
  <c r="M83"/>
  <c r="T37"/>
  <c r="V37"/>
  <c r="X37"/>
  <c r="V18" i="24"/>
  <c r="X18"/>
  <c r="T35"/>
  <c r="V35"/>
  <c r="T39"/>
  <c r="V39"/>
  <c r="V58"/>
  <c r="X58"/>
  <c r="T70"/>
  <c r="V70"/>
  <c r="X70"/>
  <c r="T36" i="25"/>
  <c r="V36"/>
  <c r="X36"/>
  <c r="V47"/>
  <c r="X47"/>
  <c r="T33" i="36"/>
  <c r="V33"/>
  <c r="X33"/>
  <c r="U105" i="24"/>
  <c r="U107" s="1"/>
  <c r="U25"/>
  <c r="T48"/>
  <c r="V48"/>
  <c r="X48"/>
  <c r="T74"/>
  <c r="T83"/>
  <c r="V83"/>
  <c r="X83"/>
  <c r="T43" i="36"/>
  <c r="X43"/>
  <c r="V43"/>
  <c r="X44" i="24"/>
  <c r="X35" i="25"/>
  <c r="T16" i="36"/>
  <c r="X16"/>
  <c r="T51"/>
  <c r="V51"/>
  <c r="X51"/>
  <c r="T56"/>
  <c r="V56"/>
  <c r="T74"/>
  <c r="V74"/>
  <c r="X74"/>
  <c r="U99" i="24"/>
  <c r="W99" s="1"/>
  <c r="V15" i="36"/>
  <c r="X15"/>
  <c r="T15"/>
  <c r="T23"/>
  <c r="V23"/>
  <c r="T36"/>
  <c r="V36"/>
  <c r="X55"/>
  <c r="T55"/>
  <c r="V55"/>
  <c r="X76"/>
  <c r="T76"/>
  <c r="X17" i="24"/>
  <c r="K25"/>
  <c r="X41"/>
  <c r="X57"/>
  <c r="X68"/>
  <c r="U74"/>
  <c r="U85" s="1"/>
  <c r="X75"/>
  <c r="X14" i="25"/>
  <c r="R27"/>
  <c r="R39" i="36"/>
  <c r="T14"/>
  <c r="V14"/>
  <c r="X14"/>
  <c r="X22"/>
  <c r="T22"/>
  <c r="V22"/>
  <c r="T61"/>
  <c r="X61"/>
  <c r="T70"/>
  <c r="X70"/>
  <c r="V81"/>
  <c r="X81"/>
  <c r="V17" i="24"/>
  <c r="V41"/>
  <c r="V57"/>
  <c r="V68"/>
  <c r="V14" i="25"/>
  <c r="N24"/>
  <c r="R24" s="1"/>
  <c r="S54"/>
  <c r="S55" s="1"/>
  <c r="W39" i="36"/>
  <c r="T28"/>
  <c r="X28"/>
  <c r="T35"/>
  <c r="V35"/>
  <c r="X35"/>
  <c r="V54"/>
  <c r="X54"/>
  <c r="V60"/>
  <c r="X60"/>
  <c r="T60"/>
  <c r="V69"/>
  <c r="X69"/>
  <c r="T69"/>
  <c r="V80"/>
  <c r="X80"/>
  <c r="T80"/>
  <c r="N46" i="24"/>
  <c r="R46" s="1"/>
  <c r="R85" s="1"/>
  <c r="V21" i="36"/>
  <c r="X21"/>
  <c r="V27"/>
  <c r="X27"/>
  <c r="T27"/>
  <c r="T46"/>
  <c r="V46"/>
  <c r="X46"/>
  <c r="T59"/>
  <c r="V59"/>
  <c r="X59"/>
  <c r="T68"/>
  <c r="V68"/>
  <c r="X68"/>
  <c r="T73"/>
  <c r="V73"/>
  <c r="X73"/>
  <c r="T79"/>
  <c r="V79"/>
  <c r="X79"/>
  <c r="T20"/>
  <c r="V20"/>
  <c r="X20"/>
  <c r="T26"/>
  <c r="V26"/>
  <c r="X26"/>
  <c r="V83"/>
  <c r="X83"/>
  <c r="V29" i="24"/>
  <c r="V34"/>
  <c r="V38"/>
  <c r="X45"/>
  <c r="V54"/>
  <c r="V23" i="25"/>
  <c r="R30"/>
  <c r="V32"/>
  <c r="V41"/>
  <c r="V52"/>
  <c r="T19" i="36"/>
  <c r="V19"/>
  <c r="X19"/>
  <c r="V34"/>
  <c r="X34"/>
  <c r="T34"/>
  <c r="T58"/>
  <c r="V58"/>
  <c r="X58"/>
  <c r="T67"/>
  <c r="V67"/>
  <c r="X67"/>
  <c r="V75"/>
  <c r="X75"/>
  <c r="T75"/>
  <c r="T78"/>
  <c r="V78"/>
  <c r="X78"/>
  <c r="U84"/>
  <c r="T25"/>
  <c r="V25"/>
  <c r="X25"/>
  <c r="N63"/>
  <c r="R63" s="1"/>
  <c r="K84"/>
  <c r="K85" s="1"/>
  <c r="V72"/>
  <c r="X72"/>
  <c r="U32"/>
  <c r="T38"/>
  <c r="X38"/>
  <c r="T49"/>
  <c r="V49"/>
  <c r="X49"/>
  <c r="T52"/>
  <c r="V52"/>
  <c r="X52"/>
  <c r="T31"/>
  <c r="V31"/>
  <c r="X31"/>
  <c r="V37"/>
  <c r="X37"/>
  <c r="T37"/>
  <c r="T72"/>
  <c r="X17"/>
  <c r="X29"/>
  <c r="X44"/>
  <c r="X62"/>
  <c r="X71"/>
  <c r="U76"/>
  <c r="V76" s="1"/>
  <c r="V17"/>
  <c r="V29"/>
  <c r="V44"/>
  <c r="N50"/>
  <c r="R50" s="1"/>
  <c r="V62"/>
  <c r="N64"/>
  <c r="R64" s="1"/>
  <c r="T65"/>
  <c r="V71"/>
  <c r="M84"/>
  <c r="M85" s="1"/>
  <c r="S48"/>
  <c r="S84" s="1"/>
  <c r="X18"/>
  <c r="X30"/>
  <c r="S32"/>
  <c r="X45"/>
  <c r="V18"/>
  <c r="V30"/>
  <c r="V45"/>
  <c r="X65"/>
  <c r="V32" l="1"/>
  <c r="W85"/>
  <c r="N39"/>
  <c r="R84"/>
  <c r="R85" s="1"/>
  <c r="V85" i="24"/>
  <c r="X85"/>
  <c r="T85"/>
  <c r="N85"/>
  <c r="N73" i="1"/>
  <c r="G75" i="25"/>
  <c r="T76" i="24"/>
  <c r="V76"/>
  <c r="X76"/>
  <c r="S78" i="2"/>
  <c r="V24" i="25"/>
  <c r="X24"/>
  <c r="T24"/>
  <c r="S39" i="36"/>
  <c r="S85" s="1"/>
  <c r="T32"/>
  <c r="V27" i="25"/>
  <c r="X27"/>
  <c r="T27"/>
  <c r="U30" i="24"/>
  <c r="U86" s="1"/>
  <c r="U97"/>
  <c r="T63" i="36"/>
  <c r="V63"/>
  <c r="X63"/>
  <c r="T39"/>
  <c r="X39"/>
  <c r="U98" i="24"/>
  <c r="W98" s="1"/>
  <c r="T48" i="36"/>
  <c r="X46" i="24"/>
  <c r="T46"/>
  <c r="V46"/>
  <c r="U39" i="36"/>
  <c r="U85" s="1"/>
  <c r="T30" i="25"/>
  <c r="R54"/>
  <c r="R55" s="1"/>
  <c r="V30"/>
  <c r="X30"/>
  <c r="X77" i="2"/>
  <c r="T77"/>
  <c r="V77"/>
  <c r="X31"/>
  <c r="V31"/>
  <c r="T31"/>
  <c r="R78"/>
  <c r="N27" i="25"/>
  <c r="N55" s="1"/>
  <c r="K30" i="24"/>
  <c r="K86" s="1"/>
  <c r="N25"/>
  <c r="T50" i="36"/>
  <c r="V50"/>
  <c r="X50"/>
  <c r="T30" i="1"/>
  <c r="V30"/>
  <c r="R73"/>
  <c r="X30"/>
  <c r="T43"/>
  <c r="V43"/>
  <c r="X43"/>
  <c r="T64" i="36"/>
  <c r="V64"/>
  <c r="X64"/>
  <c r="V72" i="1"/>
  <c r="X72"/>
  <c r="T72"/>
  <c r="T25"/>
  <c r="X25"/>
  <c r="V25"/>
  <c r="N84" i="36"/>
  <c r="N85" s="1"/>
  <c r="V74" i="24"/>
  <c r="V84" i="36" l="1"/>
  <c r="X84"/>
  <c r="V39"/>
  <c r="T84"/>
  <c r="V55" i="25"/>
  <c r="X55"/>
  <c r="T55"/>
  <c r="V78" i="2"/>
  <c r="X78"/>
  <c r="T78"/>
  <c r="W97" i="24"/>
  <c r="W102" s="1"/>
  <c r="U102"/>
  <c r="T73" i="1"/>
  <c r="V73"/>
  <c r="X73"/>
  <c r="X54" i="25"/>
  <c r="T54"/>
  <c r="V54"/>
  <c r="T85" i="36"/>
  <c r="V85"/>
  <c r="X85"/>
  <c r="R25" i="24"/>
  <c r="N30"/>
  <c r="N86" s="1"/>
  <c r="T25" l="1"/>
  <c r="V25"/>
  <c r="X25"/>
  <c r="R30"/>
  <c r="T30" l="1"/>
  <c r="V30"/>
  <c r="X30"/>
  <c r="R86"/>
  <c r="T86" l="1"/>
  <c r="V86"/>
  <c r="X86"/>
</calcChain>
</file>

<file path=xl/sharedStrings.xml><?xml version="1.0" encoding="utf-8"?>
<sst xmlns="http://schemas.openxmlformats.org/spreadsheetml/2006/main" count="2932" uniqueCount="203">
  <si>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</si>
  <si>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</si>
  <si>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</si>
  <si>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</si>
  <si>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</si>
  <si>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</si>
  <si>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</si>
  <si>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</si>
  <si>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</si>
  <si>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</si>
  <si>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</si>
  <si>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</si>
  <si>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</si>
  <si>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</si>
  <si>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</si>
  <si>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</si>
  <si>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</si>
  <si>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</si>
  <si>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</si>
  <si>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</si>
  <si>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</si>
  <si>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</si>
  <si>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</si>
  <si>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</si>
  <si>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</si>
  <si>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</si>
  <si>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</si>
  <si>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</si>
  <si>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</si>
  <si>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</si>
  <si>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</si>
  <si>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</si>
  <si>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</si>
  <si>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</si>
  <si>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</si>
  <si>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</si>
  <si>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</si>
  <si>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</si>
  <si>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</si>
  <si>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</si>
  <si>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</si>
  <si>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</si>
  <si>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</si>
  <si>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</si>
  <si>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</si>
  <si>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</si>
  <si>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</si>
  <si>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</si>
  <si>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</si>
  <si>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</si>
  <si>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</si>
  <si>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</si>
  <si>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</si>
  <si>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</si>
  <si>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</si>
  <si>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</si>
  <si>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</si>
  <si>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</si>
  <si>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</si>
  <si>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</si>
  <si>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</si>
  <si>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</si>
  <si>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</si>
  <si>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</si>
  <si>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</si>
  <si>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</si>
  <si>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</si>
  <si>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</si>
  <si>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</si>
  <si>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</si>
  <si>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</si>
  <si>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</si>
  <si>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</si>
  <si>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</si>
  <si>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</si>
  <si>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</si>
  <si>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</si>
  <si>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</si>
  <si>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</si>
  <si>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</si>
  <si>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</si>
  <si>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</si>
  <si>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</si>
  <si>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</si>
  <si>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</si>
  <si>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</si>
  <si>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</si>
  <si>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</si>
  <si>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</si>
  <si>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</si>
  <si>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</si>
  <si>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</si>
  <si>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</si>
  <si>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</si>
  <si>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</si>
  <si>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</si>
  <si>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</si>
  <si>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</si>
  <si>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</si>
  <si>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</si>
  <si>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</si>
  <si>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</si>
  <si>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</si>
  <si>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</si>
  <si>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</si>
  <si>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</si>
  <si>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</si>
  <si>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</si>
  <si>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</si>
  <si>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</si>
  <si>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</si>
  <si>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</si>
  <si>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</si>
  <si>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</si>
  <si>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</si>
  <si>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</si>
  <si>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</si>
  <si>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</si>
  <si>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</si>
  <si>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</si>
  <si>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</si>
  <si>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</si>
  <si>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</si>
  <si>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</si>
  <si>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</si>
  <si>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</si>
  <si>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</si>
  <si>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</si>
  <si>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</si>
  <si>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</si>
  <si>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</si>
  <si>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</si>
  <si>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</si>
  <si>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</si>
  <si>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</si>
  <si>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</si>
  <si>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</si>
  <si>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</si>
  <si>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</si>
  <si>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</si>
  <si>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</si>
  <si>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</si>
  <si>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</si>
  <si>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</si>
  <si>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</si>
  <si>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</si>
  <si>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</si>
  <si>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</si>
  <si>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</si>
  <si>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</si>
  <si>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</si>
  <si>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</si>
  <si>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</si>
  <si>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</si>
  <si>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</si>
  <si>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</si>
  <si>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</si>
  <si>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</si>
  <si>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</si>
  <si>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</si>
  <si>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</si>
  <si>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</si>
  <si>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</si>
  <si>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</si>
  <si>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</si>
  <si>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</si>
  <si>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</si>
  <si>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 xml:space="preserve">  </t>
  </si>
  <si>
    <t>3290.1476.0010</t>
  </si>
  <si>
    <t>FLAVIO HUMBERTO PASCARELLI LOPES</t>
  </si>
  <si>
    <t/>
  </si>
  <si>
    <t>3290/1476.0003</t>
  </si>
  <si>
    <t>3290.1476.0003</t>
  </si>
  <si>
    <t>2.500.100.0.0000.0000</t>
  </si>
  <si>
    <t>Mês de Referência: 12/2022</t>
  </si>
  <si>
    <t>Data da Publicação: 18/01/2023</t>
  </si>
  <si>
    <t>Mês de Referência: 01/2024</t>
  </si>
  <si>
    <t>Data da Publicação: 20/02/2024</t>
  </si>
  <si>
    <t>Data da Retificação: 05/03/2024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</si>
  <si>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</si>
  <si>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</si>
  <si>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</si>
  <si>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</si>
  <si>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</si>
  <si>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</si>
  <si>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</si>
  <si>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</si>
  <si>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</si>
  <si>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</si>
  <si>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</si>
  <si>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</si>
  <si>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</si>
  <si>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</si>
  <si>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</si>
  <si>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</si>
  <si>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3310.2773.0001</t>
  </si>
  <si>
    <t>Desenvolvimento de Ações Decorrentes de Emendas Parlamentares</t>
  </si>
  <si>
    <t>1.500.121.0.0000.0000</t>
  </si>
  <si>
    <t>Recursos não vinculados de impostos - FPE</t>
  </si>
  <si>
    <t>Aplicação de Emendas Parlamentares</t>
  </si>
  <si>
    <t>Mês de Referência: 12/2024</t>
  </si>
  <si>
    <t>Data da Publicação: 20/01/2025</t>
  </si>
  <si>
    <t>2.501.100.0.0000.0000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</si>
</sst>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3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  <font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4" xfId="0" applyFont="1" applyFill="1" applyBorder="1" applyAlignment="1"/>
    <xf numFmtId="0" fontId="5" fillId="2" borderId="16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2" xfId="0" applyNumberFormat="1" applyFont="1" applyFill="1" applyBorder="1" applyAlignment="1"/>
    <xf numFmtId="4" fontId="9" fillId="5" borderId="12" xfId="0" applyNumberFormat="1" applyFont="1" applyFill="1" applyBorder="1" applyAlignment="1"/>
    <xf numFmtId="1" fontId="4" fillId="5" borderId="12" xfId="0" applyNumberFormat="1" applyFont="1" applyFill="1" applyBorder="1" applyAlignment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6" fillId="0" borderId="0" xfId="0" applyNumberFormat="1" applyFont="1" applyAlignment="1"/>
    <xf numFmtId="1" fontId="4" fillId="4" borderId="12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1" fontId="4" fillId="7" borderId="12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 applyAlignment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 applyAlignment="1"/>
    <xf numFmtId="0" fontId="4" fillId="6" borderId="25" xfId="0" applyFont="1" applyFill="1" applyBorder="1" applyAlignment="1"/>
    <xf numFmtId="166" fontId="4" fillId="6" borderId="25" xfId="0" applyNumberFormat="1" applyFont="1" applyFill="1" applyBorder="1" applyAlignment="1"/>
    <xf numFmtId="4" fontId="4" fillId="0" borderId="25" xfId="0" applyNumberFormat="1" applyFont="1" applyBorder="1" applyAlignment="1"/>
    <xf numFmtId="4" fontId="9" fillId="0" borderId="0" xfId="0" applyNumberFormat="1" applyFont="1" applyAlignment="1"/>
    <xf numFmtId="166" fontId="4" fillId="0" borderId="25" xfId="0" applyNumberFormat="1" applyFont="1" applyBorder="1" applyAlignment="1"/>
    <xf numFmtId="167" fontId="4" fillId="0" borderId="0" xfId="0" applyNumberFormat="1" applyFont="1" applyAlignment="1"/>
    <xf numFmtId="0" fontId="4" fillId="4" borderId="12" xfId="0" applyFont="1" applyFill="1" applyBorder="1" applyAlignment="1"/>
    <xf numFmtId="4" fontId="4" fillId="4" borderId="12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5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right" vertical="center"/>
    </xf>
    <xf numFmtId="4" fontId="9" fillId="5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4" fillId="0" borderId="0" xfId="0" applyNumberFormat="1" applyFont="1" applyAlignment="1"/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11" fillId="7" borderId="12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5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12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166" fontId="3" fillId="11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2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customschemas.google.com/relationships/workbookmetadata" Target="metadata"/><Relationship Id="rId1" Type="http://schemas.openxmlformats.org/officeDocument/2006/relationships/worksheet" Target="worksheets/sheet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41" t="s">
        <v>0</v>
      </c>
      <c r="B1" s="142"/>
      <c r="C1" s="143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4" t="s">
        <v>1</v>
      </c>
      <c r="B2" s="145"/>
      <c r="C2" s="146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4" t="s">
        <v>2</v>
      </c>
      <c r="B3" s="145"/>
      <c r="C3" s="145"/>
      <c r="D3" s="145"/>
      <c r="E3" s="145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41" t="s">
        <v>3</v>
      </c>
      <c r="B4" s="142"/>
      <c r="C4" s="142"/>
      <c r="D4" s="142"/>
      <c r="E4" s="142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41" t="s">
        <v>5</v>
      </c>
      <c r="B6" s="142"/>
      <c r="C6" s="142"/>
      <c r="D6" s="142"/>
      <c r="E6" s="142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41" t="s">
        <v>6</v>
      </c>
      <c r="B7" s="142"/>
      <c r="C7" s="142"/>
      <c r="D7" s="142"/>
      <c r="E7" s="142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47" t="s">
        <v>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51" t="s">
        <v>8</v>
      </c>
      <c r="B12" s="142"/>
      <c r="C12" s="142"/>
      <c r="D12" s="142"/>
      <c r="E12" s="142"/>
      <c r="F12" s="142"/>
      <c r="G12" s="142"/>
      <c r="H12" s="142"/>
      <c r="I12" s="142"/>
      <c r="J12" s="143"/>
      <c r="K12" s="149" t="s">
        <v>9</v>
      </c>
      <c r="L12" s="151" t="s">
        <v>10</v>
      </c>
      <c r="M12" s="143"/>
      <c r="N12" s="149" t="s">
        <v>11</v>
      </c>
      <c r="O12" s="149" t="s">
        <v>12</v>
      </c>
      <c r="P12" s="151" t="s">
        <v>13</v>
      </c>
      <c r="Q12" s="143"/>
      <c r="R12" s="149" t="s">
        <v>14</v>
      </c>
      <c r="S12" s="151" t="s">
        <v>15</v>
      </c>
      <c r="T12" s="142"/>
      <c r="U12" s="142"/>
      <c r="V12" s="142"/>
      <c r="W12" s="142"/>
      <c r="X12" s="143"/>
      <c r="Y12" s="5"/>
      <c r="Z12" s="5"/>
      <c r="AA12" s="5"/>
    </row>
    <row r="13" spans="1:27" ht="14.25" customHeight="1">
      <c r="A13" s="151" t="s">
        <v>16</v>
      </c>
      <c r="B13" s="143"/>
      <c r="C13" s="149" t="s">
        <v>17</v>
      </c>
      <c r="D13" s="149" t="s">
        <v>18</v>
      </c>
      <c r="E13" s="151" t="s">
        <v>19</v>
      </c>
      <c r="F13" s="143"/>
      <c r="G13" s="149" t="s">
        <v>20</v>
      </c>
      <c r="H13" s="151" t="s">
        <v>21</v>
      </c>
      <c r="I13" s="143"/>
      <c r="J13" s="154" t="s">
        <v>22</v>
      </c>
      <c r="K13" s="150"/>
      <c r="L13" s="14" t="s">
        <v>23</v>
      </c>
      <c r="M13" s="14" t="s">
        <v>24</v>
      </c>
      <c r="N13" s="150"/>
      <c r="O13" s="150"/>
      <c r="P13" s="15" t="s">
        <v>25</v>
      </c>
      <c r="Q13" s="15" t="s">
        <v>26</v>
      </c>
      <c r="R13" s="15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50"/>
      <c r="D14" s="150"/>
      <c r="E14" s="15" t="s">
        <v>32</v>
      </c>
      <c r="F14" s="15" t="s">
        <v>33</v>
      </c>
      <c r="G14" s="150"/>
      <c r="H14" s="15" t="s">
        <v>31</v>
      </c>
      <c r="I14" s="15" t="s">
        <v>19</v>
      </c>
      <c r="J14" s="15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5449512.0899999999</v>
      </c>
      <c r="T16" s="28">
        <f t="shared" si="2"/>
        <v>7.9819782870752143E-2</v>
      </c>
      <c r="U16" s="29">
        <v>5449512.0899999999</v>
      </c>
      <c r="V16" s="28">
        <f t="shared" si="3"/>
        <v>7.9819782870752143E-2</v>
      </c>
      <c r="W16" s="25">
        <v>5449512.0899999999</v>
      </c>
      <c r="X16" s="28">
        <f t="shared" si="4"/>
        <v>7.9819782870752143E-2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3584210.48</v>
      </c>
      <c r="M17" s="25">
        <v>3584210.48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30454561.02</v>
      </c>
      <c r="T17" s="28">
        <f t="shared" si="2"/>
        <v>7.3468697215852072E-2</v>
      </c>
      <c r="U17" s="32">
        <v>30454561.02</v>
      </c>
      <c r="V17" s="28">
        <f t="shared" si="3"/>
        <v>7.3468697215852072E-2</v>
      </c>
      <c r="W17" s="25">
        <v>30435716.989999998</v>
      </c>
      <c r="X17" s="28">
        <f t="shared" si="4"/>
        <v>7.342323780721087E-2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1542379.01</v>
      </c>
      <c r="T19" s="28">
        <f t="shared" si="2"/>
        <v>8.3824946195652172E-2</v>
      </c>
      <c r="U19" s="29">
        <v>1542379.01</v>
      </c>
      <c r="V19" s="28">
        <f t="shared" si="3"/>
        <v>8.3824946195652172E-2</v>
      </c>
      <c r="W19" s="25">
        <v>1542379.01</v>
      </c>
      <c r="X19" s="28">
        <f t="shared" si="4"/>
        <v>8.3824946195652172E-2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f>7283870.65</f>
        <v>7283870.6500000004</v>
      </c>
      <c r="T20" s="28">
        <f t="shared" si="2"/>
        <v>6.8906809528925236E-2</v>
      </c>
      <c r="U20" s="32">
        <f>7283870.65</f>
        <v>7283870.6500000004</v>
      </c>
      <c r="V20" s="28">
        <f t="shared" si="3"/>
        <v>6.8906809528925236E-2</v>
      </c>
      <c r="W20" s="25">
        <f>7263870.65</f>
        <v>7263870.6500000004</v>
      </c>
      <c r="X20" s="28">
        <f t="shared" si="4"/>
        <v>6.8717605703541754E-2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4977.8999999999996</v>
      </c>
      <c r="M21" s="25">
        <v>4977.8999999999996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8749422.8200000003</v>
      </c>
      <c r="T21" s="28">
        <f t="shared" si="2"/>
        <v>7.5009498715058257E-2</v>
      </c>
      <c r="U21" s="32">
        <v>8749422.8200000003</v>
      </c>
      <c r="V21" s="28">
        <f t="shared" si="3"/>
        <v>7.5009498715058257E-2</v>
      </c>
      <c r="W21" s="25">
        <v>8749422.8200000003</v>
      </c>
      <c r="X21" s="28">
        <f t="shared" si="4"/>
        <v>7.5009498715058257E-2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1680500.43</v>
      </c>
      <c r="T22" s="28">
        <f t="shared" si="2"/>
        <v>8.7072561139896365E-2</v>
      </c>
      <c r="U22" s="29">
        <v>1680500.43</v>
      </c>
      <c r="V22" s="28">
        <f t="shared" si="3"/>
        <v>8.7072561139896365E-2</v>
      </c>
      <c r="W22" s="25">
        <v>1680500.43</v>
      </c>
      <c r="X22" s="28">
        <f t="shared" si="4"/>
        <v>8.7072561139896365E-2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158635.06</v>
      </c>
      <c r="T23" s="28">
        <f t="shared" si="2"/>
        <v>0.10575670666666666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5153219.47-S26</f>
        <v>4698452.88</v>
      </c>
      <c r="T25" s="28">
        <f t="shared" si="2"/>
        <v>4.0312766023166025E-2</v>
      </c>
      <c r="U25" s="32">
        <f>5114219.47-U26</f>
        <v>4659452.88</v>
      </c>
      <c r="V25" s="28">
        <f t="shared" si="3"/>
        <v>3.9978145688545685E-2</v>
      </c>
      <c r="W25" s="25">
        <f>5114219.47-W26</f>
        <v>4659452.88</v>
      </c>
      <c r="X25" s="28">
        <f t="shared" si="4"/>
        <v>3.9978145688545685E-2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454766.59</f>
        <v>454766.59</v>
      </c>
      <c r="T26" s="28">
        <f t="shared" si="2"/>
        <v>8.2276444195176671E-2</v>
      </c>
      <c r="U26" s="29">
        <v>454766.59</v>
      </c>
      <c r="V26" s="28">
        <f t="shared" si="3"/>
        <v>8.2276444195176671E-2</v>
      </c>
      <c r="W26" s="25">
        <v>454766.59</v>
      </c>
      <c r="X26" s="28">
        <f t="shared" si="4"/>
        <v>8.2276444195176671E-2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55" t="s">
        <v>86</v>
      </c>
      <c r="B30" s="142"/>
      <c r="C30" s="142"/>
      <c r="D30" s="142"/>
      <c r="E30" s="142"/>
      <c r="F30" s="142"/>
      <c r="G30" s="142"/>
      <c r="H30" s="142"/>
      <c r="I30" s="142"/>
      <c r="J30" s="143"/>
      <c r="K30" s="39">
        <f t="shared" ref="K30:N30" si="5">SUM(K15:K29)</f>
        <v>869269000</v>
      </c>
      <c r="L30" s="39">
        <f t="shared" si="5"/>
        <v>20346257.030000001</v>
      </c>
      <c r="M30" s="39">
        <f t="shared" si="5"/>
        <v>20346257.030000001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60480162.460000001</v>
      </c>
      <c r="T30" s="40">
        <f t="shared" si="2"/>
        <v>6.9575887855197874E-2</v>
      </c>
      <c r="U30" s="39">
        <f>SUM(U15:U29)</f>
        <v>60441162.460000001</v>
      </c>
      <c r="V30" s="40">
        <f t="shared" si="3"/>
        <v>6.9531022571839102E-2</v>
      </c>
      <c r="W30" s="39">
        <f>SUM(W15:W29)</f>
        <v>60402318.43</v>
      </c>
      <c r="X30" s="40">
        <f t="shared" si="4"/>
        <v>6.9486336715102001E-2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0</v>
      </c>
      <c r="N33" s="26">
        <f t="shared" ref="N33:N71" si="8">K33+L33-M33</f>
        <v>2000000</v>
      </c>
      <c r="O33" s="26"/>
      <c r="P33" s="26"/>
      <c r="Q33" s="26"/>
      <c r="R33" s="26">
        <f t="shared" ref="R33:R71" si="9">N33-O33+P33+Q33</f>
        <v>2000000</v>
      </c>
      <c r="S33" s="45">
        <v>1883187.59</v>
      </c>
      <c r="T33" s="28">
        <f t="shared" ref="T33:T73" si="10">IF(R33&gt;0,S33/R33,0)</f>
        <v>0.94159379500000007</v>
      </c>
      <c r="U33" s="46">
        <v>0</v>
      </c>
      <c r="V33" s="28">
        <f t="shared" ref="V33:V73" si="11">IF(R33&gt;0,U33/R33,0)</f>
        <v>0</v>
      </c>
      <c r="W33" s="25">
        <v>0</v>
      </c>
      <c r="X33" s="28">
        <f t="shared" ref="X33:X73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95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44">
        <v>4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46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54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54" hidden="1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0</v>
      </c>
      <c r="M39" s="25">
        <v>0</v>
      </c>
      <c r="N39" s="26">
        <f t="shared" si="8"/>
        <v>0</v>
      </c>
      <c r="O39" s="27"/>
      <c r="P39" s="27"/>
      <c r="Q39" s="27"/>
      <c r="R39" s="26">
        <f t="shared" si="9"/>
        <v>0</v>
      </c>
      <c r="S39" s="37">
        <v>0</v>
      </c>
      <c r="T39" s="28">
        <f t="shared" si="10"/>
        <v>0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>
        <v>0</v>
      </c>
      <c r="T40" s="28">
        <f t="shared" si="10"/>
        <v>0</v>
      </c>
      <c r="U40" s="29">
        <v>0</v>
      </c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0</v>
      </c>
      <c r="N41" s="26">
        <f t="shared" si="8"/>
        <v>3000000</v>
      </c>
      <c r="O41" s="27"/>
      <c r="P41" s="27"/>
      <c r="Q41" s="27"/>
      <c r="R41" s="26">
        <f t="shared" si="9"/>
        <v>3000000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0</v>
      </c>
      <c r="N42" s="26">
        <f t="shared" si="8"/>
        <v>50000</v>
      </c>
      <c r="O42" s="26"/>
      <c r="P42" s="26"/>
      <c r="Q42" s="26"/>
      <c r="R42" s="26">
        <f t="shared" si="9"/>
        <v>50000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862193.4</f>
        <v>862193.4</v>
      </c>
      <c r="M43" s="25">
        <f>4326709.3</f>
        <v>4326709.3</v>
      </c>
      <c r="N43" s="26">
        <f t="shared" si="8"/>
        <v>40288821.100000001</v>
      </c>
      <c r="O43" s="26"/>
      <c r="P43" s="26"/>
      <c r="Q43" s="26"/>
      <c r="R43" s="26">
        <f t="shared" si="9"/>
        <v>40288821.100000001</v>
      </c>
      <c r="S43" s="34">
        <f>21607477.04-S44</f>
        <v>21597277.039999999</v>
      </c>
      <c r="T43" s="28">
        <f t="shared" si="10"/>
        <v>0.53606128078043958</v>
      </c>
      <c r="U43" s="29">
        <v>573483.19999999995</v>
      </c>
      <c r="V43" s="28">
        <f t="shared" si="11"/>
        <v>1.4234300839346226E-2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v>10200</v>
      </c>
      <c r="T44" s="28">
        <f t="shared" si="10"/>
        <v>2.0400000000000001E-2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>
        <v>0</v>
      </c>
      <c r="L45" s="35">
        <v>0</v>
      </c>
      <c r="M45" s="35">
        <v>0</v>
      </c>
      <c r="N45" s="36">
        <f t="shared" si="8"/>
        <v>0</v>
      </c>
      <c r="O45" s="36"/>
      <c r="P45" s="36"/>
      <c r="Q45" s="36"/>
      <c r="R45" s="36">
        <f t="shared" si="9"/>
        <v>0</v>
      </c>
      <c r="S45" s="35">
        <v>0</v>
      </c>
      <c r="T45" s="38">
        <f t="shared" si="10"/>
        <v>0</v>
      </c>
      <c r="U45" s="54">
        <v>0</v>
      </c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>
        <v>0</v>
      </c>
      <c r="L47" s="35">
        <v>0</v>
      </c>
      <c r="M47" s="35">
        <v>0</v>
      </c>
      <c r="N47" s="36">
        <f t="shared" si="8"/>
        <v>0</v>
      </c>
      <c r="O47" s="36"/>
      <c r="P47" s="36"/>
      <c r="Q47" s="36"/>
      <c r="R47" s="36">
        <f t="shared" si="9"/>
        <v>0</v>
      </c>
      <c r="S47" s="37">
        <v>0</v>
      </c>
      <c r="T47" s="38">
        <f t="shared" si="10"/>
        <v>0</v>
      </c>
      <c r="U47" s="54">
        <v>0</v>
      </c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0</v>
      </c>
      <c r="N48" s="36">
        <f t="shared" si="8"/>
        <v>800000</v>
      </c>
      <c r="O48" s="36"/>
      <c r="P48" s="36"/>
      <c r="Q48" s="36"/>
      <c r="R48" s="36">
        <f t="shared" si="9"/>
        <v>800000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0</v>
      </c>
      <c r="N49" s="36">
        <f t="shared" si="8"/>
        <v>50000</v>
      </c>
      <c r="O49" s="36"/>
      <c r="P49" s="36"/>
      <c r="Q49" s="36"/>
      <c r="R49" s="36">
        <f t="shared" si="9"/>
        <v>50000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hidden="1" customHeight="1">
      <c r="A50" s="22" t="s">
        <v>87</v>
      </c>
      <c r="B50" s="33" t="s">
        <v>88</v>
      </c>
      <c r="C50" s="33" t="s">
        <v>50</v>
      </c>
      <c r="D50" s="33" t="s">
        <v>109</v>
      </c>
      <c r="E50" s="33" t="s">
        <v>104</v>
      </c>
      <c r="F50" s="33" t="s">
        <v>110</v>
      </c>
      <c r="G50" s="33" t="s">
        <v>54</v>
      </c>
      <c r="H50" s="33" t="s">
        <v>94</v>
      </c>
      <c r="I50" s="33" t="s">
        <v>63</v>
      </c>
      <c r="J50" s="24">
        <v>3</v>
      </c>
      <c r="K50" s="34"/>
      <c r="L50" s="35"/>
      <c r="M50" s="35"/>
      <c r="N50" s="36">
        <f t="shared" si="8"/>
        <v>0</v>
      </c>
      <c r="O50" s="36"/>
      <c r="P50" s="36"/>
      <c r="Q50" s="36"/>
      <c r="R50" s="36">
        <f t="shared" si="9"/>
        <v>0</v>
      </c>
      <c r="S50" s="37"/>
      <c r="T50" s="38">
        <f t="shared" si="10"/>
        <v>0</v>
      </c>
      <c r="U50" s="29"/>
      <c r="V50" s="38">
        <f t="shared" si="11"/>
        <v>0</v>
      </c>
      <c r="W50" s="35"/>
      <c r="X50" s="38">
        <f t="shared" si="12"/>
        <v>0</v>
      </c>
      <c r="Y50" s="5"/>
      <c r="Z50" s="5"/>
      <c r="AA50" s="5"/>
    </row>
    <row r="51" spans="1:27" ht="54" customHeight="1">
      <c r="A51" s="22" t="s">
        <v>87</v>
      </c>
      <c r="B51" s="33" t="s">
        <v>88</v>
      </c>
      <c r="C51" s="33" t="s">
        <v>50</v>
      </c>
      <c r="D51" s="33" t="s">
        <v>111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44">
        <v>4</v>
      </c>
      <c r="K51" s="34">
        <v>200000</v>
      </c>
      <c r="L51" s="35">
        <v>0</v>
      </c>
      <c r="M51" s="35">
        <v>0</v>
      </c>
      <c r="N51" s="36">
        <f t="shared" si="8"/>
        <v>200000</v>
      </c>
      <c r="O51" s="36"/>
      <c r="P51" s="36"/>
      <c r="Q51" s="36"/>
      <c r="R51" s="36">
        <f t="shared" si="9"/>
        <v>200000</v>
      </c>
      <c r="S51" s="37">
        <v>200000</v>
      </c>
      <c r="T51" s="38">
        <f t="shared" si="10"/>
        <v>1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61</v>
      </c>
      <c r="E52" s="33" t="s">
        <v>104</v>
      </c>
      <c r="F52" s="33" t="s">
        <v>62</v>
      </c>
      <c r="G52" s="33" t="s">
        <v>54</v>
      </c>
      <c r="H52" s="33" t="s">
        <v>112</v>
      </c>
      <c r="I52" s="33" t="s">
        <v>63</v>
      </c>
      <c r="J52" s="24">
        <v>3</v>
      </c>
      <c r="K52" s="34">
        <v>300000</v>
      </c>
      <c r="L52" s="35">
        <v>10000</v>
      </c>
      <c r="M52" s="35">
        <v>10000</v>
      </c>
      <c r="N52" s="36">
        <f t="shared" si="8"/>
        <v>300000</v>
      </c>
      <c r="O52" s="36"/>
      <c r="P52" s="36"/>
      <c r="Q52" s="36"/>
      <c r="R52" s="36">
        <f t="shared" si="9"/>
        <v>300000</v>
      </c>
      <c r="S52" s="37">
        <v>0</v>
      </c>
      <c r="T52" s="38">
        <f t="shared" si="10"/>
        <v>0</v>
      </c>
      <c r="U52" s="54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23" t="s">
        <v>88</v>
      </c>
      <c r="C53" s="23" t="s">
        <v>50</v>
      </c>
      <c r="D53" s="23" t="s">
        <v>64</v>
      </c>
      <c r="E53" s="33" t="s">
        <v>104</v>
      </c>
      <c r="F53" s="33" t="s">
        <v>66</v>
      </c>
      <c r="G53" s="23" t="s">
        <v>54</v>
      </c>
      <c r="H53" s="23" t="s">
        <v>92</v>
      </c>
      <c r="I53" s="23" t="s">
        <v>63</v>
      </c>
      <c r="J53" s="24">
        <v>3</v>
      </c>
      <c r="K53" s="34">
        <v>20000</v>
      </c>
      <c r="L53" s="25">
        <v>0</v>
      </c>
      <c r="M53" s="25">
        <v>0</v>
      </c>
      <c r="N53" s="26">
        <f t="shared" si="8"/>
        <v>20000</v>
      </c>
      <c r="O53" s="26"/>
      <c r="P53" s="26"/>
      <c r="Q53" s="26"/>
      <c r="R53" s="26">
        <f t="shared" si="9"/>
        <v>20000</v>
      </c>
      <c r="S53" s="37">
        <v>0</v>
      </c>
      <c r="T53" s="28">
        <f t="shared" si="10"/>
        <v>0</v>
      </c>
      <c r="U53" s="29">
        <v>0</v>
      </c>
      <c r="V53" s="28">
        <f t="shared" si="11"/>
        <v>0</v>
      </c>
      <c r="W53" s="25">
        <v>0</v>
      </c>
      <c r="X53" s="2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94</v>
      </c>
      <c r="I54" s="23" t="s">
        <v>63</v>
      </c>
      <c r="J54" s="24">
        <v>3</v>
      </c>
      <c r="K54" s="34"/>
      <c r="L54" s="25"/>
      <c r="M54" s="25"/>
      <c r="N54" s="26">
        <f t="shared" si="8"/>
        <v>0</v>
      </c>
      <c r="O54" s="26"/>
      <c r="P54" s="26"/>
      <c r="Q54" s="26"/>
      <c r="R54" s="26">
        <f t="shared" si="9"/>
        <v>0</v>
      </c>
      <c r="S54" s="37"/>
      <c r="T54" s="28">
        <f t="shared" si="10"/>
        <v>0</v>
      </c>
      <c r="U54" s="29"/>
      <c r="V54" s="28">
        <f t="shared" si="11"/>
        <v>0</v>
      </c>
      <c r="W54" s="25"/>
      <c r="X54" s="2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23" t="s">
        <v>88</v>
      </c>
      <c r="C55" s="23" t="s">
        <v>50</v>
      </c>
      <c r="D55" s="23" t="s">
        <v>113</v>
      </c>
      <c r="E55" s="33" t="s">
        <v>104</v>
      </c>
      <c r="F55" s="33" t="s">
        <v>114</v>
      </c>
      <c r="G55" s="23" t="s">
        <v>54</v>
      </c>
      <c r="H55" s="23" t="s">
        <v>92</v>
      </c>
      <c r="I55" s="23" t="s">
        <v>63</v>
      </c>
      <c r="J55" s="24">
        <v>3</v>
      </c>
      <c r="K55" s="34">
        <f>9026663-K56</f>
        <v>8826663</v>
      </c>
      <c r="L55" s="25">
        <f>3254316.81-L56</f>
        <v>2694696.81</v>
      </c>
      <c r="M55" s="25">
        <f>91696.81</f>
        <v>91696.81</v>
      </c>
      <c r="N55" s="26">
        <f t="shared" si="8"/>
        <v>11429663</v>
      </c>
      <c r="O55" s="26"/>
      <c r="P55" s="26"/>
      <c r="Q55" s="26"/>
      <c r="R55" s="26">
        <f t="shared" si="9"/>
        <v>11429663</v>
      </c>
      <c r="S55" s="25">
        <f>6983045.19</f>
        <v>6983045.1900000004</v>
      </c>
      <c r="T55" s="28">
        <f t="shared" si="10"/>
        <v>0.61095809998947481</v>
      </c>
      <c r="U55" s="29">
        <v>37015.29</v>
      </c>
      <c r="V55" s="28">
        <f t="shared" si="11"/>
        <v>3.2385285550413866E-3</v>
      </c>
      <c r="W55" s="25">
        <v>0</v>
      </c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44">
        <v>4</v>
      </c>
      <c r="K56" s="34">
        <v>200000</v>
      </c>
      <c r="L56" s="25">
        <v>559620</v>
      </c>
      <c r="M56" s="25">
        <v>0</v>
      </c>
      <c r="N56" s="26">
        <f t="shared" si="8"/>
        <v>759620</v>
      </c>
      <c r="O56" s="26"/>
      <c r="P56" s="26"/>
      <c r="Q56" s="26"/>
      <c r="R56" s="26">
        <f t="shared" si="9"/>
        <v>759620</v>
      </c>
      <c r="S56" s="25">
        <v>0</v>
      </c>
      <c r="T56" s="28">
        <f t="shared" si="10"/>
        <v>0</v>
      </c>
      <c r="U56" s="46">
        <v>0</v>
      </c>
      <c r="V56" s="28">
        <f t="shared" si="11"/>
        <v>0</v>
      </c>
      <c r="W56" s="25">
        <v>0</v>
      </c>
      <c r="X56" s="28">
        <f t="shared" si="12"/>
        <v>0</v>
      </c>
      <c r="Y56" s="5"/>
      <c r="Z56" s="5"/>
      <c r="AA56" s="5"/>
    </row>
    <row r="57" spans="1:27" ht="54" hidden="1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94</v>
      </c>
      <c r="I57" s="23" t="s">
        <v>63</v>
      </c>
      <c r="J57" s="24">
        <v>3</v>
      </c>
      <c r="K57" s="34"/>
      <c r="L57" s="25"/>
      <c r="M57" s="25"/>
      <c r="N57" s="26">
        <f t="shared" si="8"/>
        <v>0</v>
      </c>
      <c r="O57" s="26"/>
      <c r="P57" s="26"/>
      <c r="Q57" s="26"/>
      <c r="R57" s="26">
        <f t="shared" si="9"/>
        <v>0</v>
      </c>
      <c r="S57" s="35"/>
      <c r="T57" s="28">
        <f t="shared" si="10"/>
        <v>0</v>
      </c>
      <c r="U57" s="29"/>
      <c r="V57" s="28">
        <f t="shared" si="11"/>
        <v>0</v>
      </c>
      <c r="W57" s="25"/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44">
        <v>4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46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63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65</v>
      </c>
      <c r="F59" s="33" t="s">
        <v>114</v>
      </c>
      <c r="G59" s="23" t="s">
        <v>54</v>
      </c>
      <c r="H59" s="23" t="s">
        <v>115</v>
      </c>
      <c r="I59" s="23" t="s">
        <v>56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50</v>
      </c>
      <c r="D60" s="23" t="s">
        <v>116</v>
      </c>
      <c r="E60" s="33" t="s">
        <v>65</v>
      </c>
      <c r="F60" s="23" t="s">
        <v>117</v>
      </c>
      <c r="G60" s="23" t="s">
        <v>54</v>
      </c>
      <c r="H60" s="23" t="s">
        <v>92</v>
      </c>
      <c r="I60" s="23" t="s">
        <v>56</v>
      </c>
      <c r="J60" s="24">
        <v>3</v>
      </c>
      <c r="K60" s="34">
        <v>300000</v>
      </c>
      <c r="L60" s="25">
        <v>0</v>
      </c>
      <c r="M60" s="25">
        <v>0</v>
      </c>
      <c r="N60" s="26">
        <f t="shared" si="8"/>
        <v>300000</v>
      </c>
      <c r="O60" s="26"/>
      <c r="P60" s="26"/>
      <c r="Q60" s="26"/>
      <c r="R60" s="26">
        <f t="shared" si="9"/>
        <v>300000</v>
      </c>
      <c r="S60" s="35">
        <v>0</v>
      </c>
      <c r="T60" s="28">
        <f t="shared" si="10"/>
        <v>0</v>
      </c>
      <c r="U60" s="29">
        <v>0</v>
      </c>
      <c r="V60" s="28">
        <f t="shared" si="11"/>
        <v>0</v>
      </c>
      <c r="W60" s="25">
        <v>0</v>
      </c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15000</v>
      </c>
      <c r="L61" s="25">
        <v>0</v>
      </c>
      <c r="M61" s="25">
        <v>0</v>
      </c>
      <c r="N61" s="26">
        <f t="shared" si="8"/>
        <v>15000</v>
      </c>
      <c r="O61" s="26"/>
      <c r="P61" s="26"/>
      <c r="Q61" s="26"/>
      <c r="R61" s="26">
        <f t="shared" si="9"/>
        <v>15000</v>
      </c>
      <c r="S61" s="35">
        <v>0</v>
      </c>
      <c r="T61" s="28">
        <f t="shared" si="10"/>
        <v>0</v>
      </c>
      <c r="U61" s="55">
        <v>0</v>
      </c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63" hidden="1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94</v>
      </c>
      <c r="I62" s="23" t="s">
        <v>56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56" t="s">
        <v>119</v>
      </c>
      <c r="E63" s="33" t="s">
        <v>65</v>
      </c>
      <c r="F63" s="23" t="s">
        <v>120</v>
      </c>
      <c r="G63" s="23" t="s">
        <v>54</v>
      </c>
      <c r="H63" s="23" t="s">
        <v>92</v>
      </c>
      <c r="I63" s="23" t="s">
        <v>56</v>
      </c>
      <c r="J63" s="24">
        <v>3</v>
      </c>
      <c r="K63" s="34">
        <f>18113000-K64</f>
        <v>15720000</v>
      </c>
      <c r="L63" s="25">
        <v>0</v>
      </c>
      <c r="M63" s="25">
        <v>0</v>
      </c>
      <c r="N63" s="26">
        <f t="shared" si="8"/>
        <v>15720000</v>
      </c>
      <c r="O63" s="26"/>
      <c r="P63" s="26"/>
      <c r="Q63" s="26"/>
      <c r="R63" s="26">
        <f t="shared" si="9"/>
        <v>15720000</v>
      </c>
      <c r="S63" s="35">
        <f>7719401.45</f>
        <v>7719401.4500000002</v>
      </c>
      <c r="T63" s="28">
        <f t="shared" si="10"/>
        <v>0.49105607188295164</v>
      </c>
      <c r="U63" s="29">
        <v>0</v>
      </c>
      <c r="V63" s="28">
        <f t="shared" si="11"/>
        <v>0</v>
      </c>
      <c r="W63" s="25">
        <v>0</v>
      </c>
      <c r="X63" s="28">
        <f t="shared" si="12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56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44">
        <v>4</v>
      </c>
      <c r="K64" s="34">
        <v>2393000</v>
      </c>
      <c r="L64" s="25">
        <v>0</v>
      </c>
      <c r="M64" s="25">
        <v>1292820</v>
      </c>
      <c r="N64" s="26">
        <f t="shared" si="8"/>
        <v>1100180</v>
      </c>
      <c r="O64" s="26"/>
      <c r="P64" s="26"/>
      <c r="Q64" s="26"/>
      <c r="R64" s="26">
        <f t="shared" si="9"/>
        <v>1100180</v>
      </c>
      <c r="S64" s="35">
        <v>0</v>
      </c>
      <c r="T64" s="28">
        <f t="shared" si="10"/>
        <v>0</v>
      </c>
      <c r="U64" s="46">
        <v>0</v>
      </c>
      <c r="V64" s="28">
        <f t="shared" si="11"/>
        <v>0</v>
      </c>
      <c r="W64" s="25">
        <v>0</v>
      </c>
      <c r="X64" s="28">
        <f t="shared" si="12"/>
        <v>0</v>
      </c>
      <c r="Y64" s="5"/>
      <c r="Z64" s="5"/>
      <c r="AA64" s="5"/>
    </row>
    <row r="65" spans="1:27" ht="63" hidden="1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94</v>
      </c>
      <c r="I65" s="23" t="s">
        <v>56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44">
        <v>4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46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23" t="s">
        <v>122</v>
      </c>
      <c r="G67" s="23" t="s">
        <v>54</v>
      </c>
      <c r="H67" s="23" t="s">
        <v>92</v>
      </c>
      <c r="I67" s="23" t="s">
        <v>56</v>
      </c>
      <c r="J67" s="24">
        <v>3</v>
      </c>
      <c r="K67" s="34">
        <f>5300000-K68</f>
        <v>4400000</v>
      </c>
      <c r="L67" s="25">
        <v>0</v>
      </c>
      <c r="M67" s="25">
        <v>0</v>
      </c>
      <c r="N67" s="26">
        <f t="shared" si="8"/>
        <v>4400000</v>
      </c>
      <c r="O67" s="26"/>
      <c r="P67" s="26"/>
      <c r="Q67" s="26"/>
      <c r="R67" s="26">
        <f t="shared" si="9"/>
        <v>4400000</v>
      </c>
      <c r="S67" s="35">
        <v>2210915.69</v>
      </c>
      <c r="T67" s="28">
        <f t="shared" si="10"/>
        <v>0.50248083863636361</v>
      </c>
      <c r="U67" s="29">
        <v>0</v>
      </c>
      <c r="V67" s="28">
        <f t="shared" si="11"/>
        <v>0</v>
      </c>
      <c r="W67" s="25">
        <v>0</v>
      </c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44">
        <v>4</v>
      </c>
      <c r="K68" s="34">
        <v>900000</v>
      </c>
      <c r="L68" s="25">
        <v>0</v>
      </c>
      <c r="M68" s="25">
        <v>616800</v>
      </c>
      <c r="N68" s="26">
        <f t="shared" si="8"/>
        <v>283200</v>
      </c>
      <c r="O68" s="26"/>
      <c r="P68" s="26"/>
      <c r="Q68" s="26"/>
      <c r="R68" s="26">
        <f t="shared" si="9"/>
        <v>283200</v>
      </c>
      <c r="S68" s="35">
        <v>0</v>
      </c>
      <c r="T68" s="28">
        <f t="shared" si="10"/>
        <v>0</v>
      </c>
      <c r="U68" s="46">
        <v>0</v>
      </c>
      <c r="V68" s="28">
        <f t="shared" si="11"/>
        <v>0</v>
      </c>
      <c r="W68" s="25">
        <v>0</v>
      </c>
      <c r="X68" s="28">
        <f t="shared" si="12"/>
        <v>0</v>
      </c>
      <c r="Y68" s="5"/>
      <c r="Z68" s="5"/>
      <c r="AA68" s="5"/>
    </row>
    <row r="69" spans="1:27" ht="63" hidden="1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94</v>
      </c>
      <c r="I69" s="23" t="s">
        <v>56</v>
      </c>
      <c r="J69" s="44">
        <v>4</v>
      </c>
      <c r="K69" s="34"/>
      <c r="L69" s="25"/>
      <c r="M69" s="25"/>
      <c r="N69" s="26">
        <f t="shared" si="8"/>
        <v>0</v>
      </c>
      <c r="O69" s="26"/>
      <c r="P69" s="26"/>
      <c r="Q69" s="26"/>
      <c r="R69" s="26">
        <f t="shared" si="9"/>
        <v>0</v>
      </c>
      <c r="S69" s="35"/>
      <c r="T69" s="28">
        <f t="shared" si="10"/>
        <v>0</v>
      </c>
      <c r="U69" s="46"/>
      <c r="V69" s="28">
        <f t="shared" si="11"/>
        <v>0</v>
      </c>
      <c r="W69" s="25"/>
      <c r="X69" s="28">
        <f t="shared" si="12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23" t="s">
        <v>92</v>
      </c>
      <c r="I70" s="23" t="s">
        <v>56</v>
      </c>
      <c r="J70" s="24">
        <v>3</v>
      </c>
      <c r="K70" s="34">
        <v>0</v>
      </c>
      <c r="L70" s="25">
        <v>1350000</v>
      </c>
      <c r="M70" s="25">
        <v>0</v>
      </c>
      <c r="N70" s="26">
        <f t="shared" si="8"/>
        <v>1350000</v>
      </c>
      <c r="O70" s="26"/>
      <c r="P70" s="26"/>
      <c r="Q70" s="26"/>
      <c r="R70" s="26">
        <f t="shared" si="9"/>
        <v>1350000</v>
      </c>
      <c r="S70" s="35">
        <v>0</v>
      </c>
      <c r="T70" s="28">
        <f t="shared" si="10"/>
        <v>0</v>
      </c>
      <c r="U70" s="29">
        <v>0</v>
      </c>
      <c r="V70" s="28">
        <f t="shared" si="11"/>
        <v>0</v>
      </c>
      <c r="W70" s="25">
        <v>0</v>
      </c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112</v>
      </c>
      <c r="I71" s="23" t="s">
        <v>56</v>
      </c>
      <c r="J71" s="24">
        <v>3</v>
      </c>
      <c r="K71" s="34">
        <v>300000</v>
      </c>
      <c r="L71" s="25">
        <v>0</v>
      </c>
      <c r="M71" s="25">
        <v>0</v>
      </c>
      <c r="N71" s="26">
        <f t="shared" si="8"/>
        <v>300000</v>
      </c>
      <c r="O71" s="26"/>
      <c r="P71" s="26"/>
      <c r="Q71" s="26"/>
      <c r="R71" s="26">
        <f t="shared" si="9"/>
        <v>300000</v>
      </c>
      <c r="S71" s="35">
        <v>19050</v>
      </c>
      <c r="T71" s="28">
        <f t="shared" si="10"/>
        <v>6.3500000000000001E-2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15.75" customHeight="1">
      <c r="A72" s="156" t="s">
        <v>124</v>
      </c>
      <c r="B72" s="142"/>
      <c r="C72" s="142"/>
      <c r="D72" s="142"/>
      <c r="E72" s="142"/>
      <c r="F72" s="142"/>
      <c r="G72" s="142"/>
      <c r="H72" s="142"/>
      <c r="I72" s="142"/>
      <c r="J72" s="143"/>
      <c r="K72" s="39">
        <f t="shared" ref="K72:S72" si="13">SUM(K33:K71)</f>
        <v>83793000</v>
      </c>
      <c r="L72" s="39">
        <f t="shared" si="13"/>
        <v>6338026.1100000003</v>
      </c>
      <c r="M72" s="39">
        <f t="shared" si="13"/>
        <v>6338026.1099999994</v>
      </c>
      <c r="N72" s="39">
        <f t="shared" si="13"/>
        <v>83793000</v>
      </c>
      <c r="O72" s="39">
        <f t="shared" si="13"/>
        <v>0</v>
      </c>
      <c r="P72" s="39">
        <f t="shared" si="13"/>
        <v>0</v>
      </c>
      <c r="Q72" s="39">
        <f t="shared" si="13"/>
        <v>0</v>
      </c>
      <c r="R72" s="39">
        <f t="shared" si="13"/>
        <v>83793000</v>
      </c>
      <c r="S72" s="39">
        <f t="shared" si="13"/>
        <v>40623076.960000001</v>
      </c>
      <c r="T72" s="40">
        <f t="shared" si="10"/>
        <v>0.48480275154249164</v>
      </c>
      <c r="U72" s="39">
        <f>SUM(U33:U71)</f>
        <v>610498.49</v>
      </c>
      <c r="V72" s="40">
        <f t="shared" si="11"/>
        <v>7.285793443366391E-3</v>
      </c>
      <c r="W72" s="39">
        <f>SUM(W33:W71)</f>
        <v>0</v>
      </c>
      <c r="X72" s="40">
        <f t="shared" si="12"/>
        <v>0</v>
      </c>
      <c r="Y72" s="5"/>
      <c r="Z72" s="5"/>
      <c r="AA72" s="5"/>
    </row>
    <row r="73" spans="1:27" ht="15.75" customHeight="1">
      <c r="A73" s="157" t="s">
        <v>125</v>
      </c>
      <c r="B73" s="142"/>
      <c r="C73" s="142"/>
      <c r="D73" s="142"/>
      <c r="E73" s="142"/>
      <c r="F73" s="142"/>
      <c r="G73" s="142"/>
      <c r="H73" s="142"/>
      <c r="I73" s="142"/>
      <c r="J73" s="143"/>
      <c r="K73" s="57">
        <f t="shared" ref="K73:S73" si="14">SUM(K30+K72)</f>
        <v>953062000</v>
      </c>
      <c r="L73" s="57">
        <f t="shared" si="14"/>
        <v>26684283.140000001</v>
      </c>
      <c r="M73" s="57">
        <f t="shared" si="14"/>
        <v>26684283.140000001</v>
      </c>
      <c r="N73" s="57">
        <f t="shared" si="14"/>
        <v>953062000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953062000</v>
      </c>
      <c r="S73" s="57">
        <f t="shared" si="14"/>
        <v>101103239.42</v>
      </c>
      <c r="T73" s="58">
        <f t="shared" si="10"/>
        <v>0.10608254176538358</v>
      </c>
      <c r="U73" s="57">
        <f>SUM(U30+U72)</f>
        <v>61051660.950000003</v>
      </c>
      <c r="V73" s="58">
        <f t="shared" si="11"/>
        <v>6.4058435810052231E-2</v>
      </c>
      <c r="W73" s="57">
        <f>SUM(W30+W72)</f>
        <v>60402318.43</v>
      </c>
      <c r="X73" s="58">
        <f t="shared" si="12"/>
        <v>6.3377113377723587E-2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58" t="s">
        <v>128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3"/>
      <c r="O77" s="63"/>
      <c r="P77" s="63"/>
      <c r="Q77" s="5"/>
      <c r="R77" s="5"/>
      <c r="S77" s="5"/>
      <c r="T77" s="5"/>
      <c r="U77" s="5"/>
      <c r="V77" s="5"/>
      <c r="W77" s="5"/>
      <c r="X77" s="66"/>
      <c r="Y77" s="5"/>
      <c r="Z77" s="5"/>
      <c r="AA77" s="5"/>
    </row>
    <row r="78" spans="1:27" ht="14.25" customHeight="1">
      <c r="A78" s="159"/>
      <c r="B78" s="145"/>
      <c r="C78" s="145"/>
      <c r="D78" s="145"/>
      <c r="E78" s="145"/>
      <c r="F78" s="145"/>
      <c r="G78" s="145"/>
      <c r="H78" s="146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60"/>
      <c r="B79" s="148"/>
      <c r="C79" s="148"/>
      <c r="D79" s="148"/>
      <c r="E79" s="148"/>
      <c r="F79" s="148"/>
      <c r="G79" s="148"/>
      <c r="H79" s="161"/>
      <c r="I79" s="3"/>
      <c r="J79" s="3"/>
      <c r="K79" s="67"/>
      <c r="L79" s="67"/>
      <c r="M79" s="67"/>
      <c r="N79" s="67"/>
      <c r="O79" s="67"/>
      <c r="P79" s="67"/>
      <c r="Q79" s="5"/>
      <c r="R79" s="5"/>
      <c r="S79" s="5"/>
      <c r="T79" s="5"/>
      <c r="U79" s="5"/>
      <c r="V79" s="5"/>
      <c r="W79" s="5"/>
      <c r="X79" s="66"/>
      <c r="Y79" s="30"/>
      <c r="Z79" s="5"/>
      <c r="AA79" s="5"/>
    </row>
    <row r="80" spans="1:27" ht="14.25" customHeight="1">
      <c r="A80" s="162"/>
      <c r="B80" s="163"/>
      <c r="C80" s="163"/>
      <c r="D80" s="163"/>
      <c r="E80" s="163"/>
      <c r="F80" s="163"/>
      <c r="G80" s="163"/>
      <c r="H80" s="164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68"/>
      <c r="V80" s="5"/>
      <c r="W80" s="5"/>
      <c r="X80" s="66"/>
      <c r="Y80" s="30"/>
      <c r="Z80" s="5"/>
      <c r="AA80" s="5"/>
    </row>
    <row r="81" spans="1:27" ht="14.25" customHeight="1">
      <c r="A81" s="69"/>
      <c r="B81" s="69"/>
      <c r="C81" s="69"/>
      <c r="D81" s="63"/>
      <c r="E81" s="63"/>
      <c r="F81" s="63"/>
      <c r="G81" s="63"/>
      <c r="H81" s="3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70"/>
      <c r="B83" s="70"/>
      <c r="C83" s="70"/>
      <c r="D83" s="70"/>
      <c r="E83" s="70"/>
      <c r="F83" s="70"/>
      <c r="G83" s="63"/>
      <c r="H83" s="3"/>
      <c r="I83" s="3"/>
      <c r="J83" s="3"/>
      <c r="K83" s="67"/>
      <c r="L83" s="63"/>
      <c r="M83" s="63"/>
      <c r="N83" s="63"/>
      <c r="O83" s="63"/>
      <c r="P83" s="63"/>
      <c r="Q83" s="5"/>
      <c r="R83" s="5"/>
      <c r="S83" s="5"/>
      <c r="T83" s="5"/>
      <c r="U83" s="68"/>
      <c r="V83" s="5"/>
      <c r="W83" s="5"/>
      <c r="X83" s="63"/>
      <c r="Y83" s="5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5"/>
      <c r="V84" s="5"/>
      <c r="W84" s="5"/>
      <c r="X84" s="63"/>
      <c r="Y84" s="5"/>
      <c r="Z84" s="5"/>
      <c r="AA84" s="5"/>
    </row>
    <row r="85" spans="1:27" ht="15.7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3"/>
      <c r="L85" s="63"/>
      <c r="M85" s="63"/>
      <c r="N85" s="63"/>
      <c r="O85" s="63"/>
      <c r="P85" s="63"/>
      <c r="Q85" s="71" t="s">
        <v>34</v>
      </c>
      <c r="R85" s="71"/>
      <c r="S85" s="72"/>
      <c r="T85" s="71" t="s">
        <v>35</v>
      </c>
      <c r="U85" s="71"/>
      <c r="V85" s="66"/>
      <c r="W85" s="73" t="s">
        <v>129</v>
      </c>
      <c r="X85" s="63"/>
      <c r="Y85" s="5"/>
      <c r="Z85" s="5"/>
      <c r="AA85" s="5"/>
    </row>
    <row r="86" spans="1:27" ht="14.2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74"/>
      <c r="L86" s="74"/>
      <c r="M86" s="74"/>
      <c r="N86" s="74"/>
      <c r="O86" s="74"/>
      <c r="P86" s="74"/>
      <c r="Q86" s="75">
        <v>1</v>
      </c>
      <c r="R86" s="76"/>
      <c r="S86" s="66"/>
      <c r="T86" s="77">
        <v>1</v>
      </c>
      <c r="U86" s="76">
        <f>U17+U18+U20+U21+U24+U25+U27+U28+U29</f>
        <v>51155369.280000001</v>
      </c>
      <c r="V86" s="66"/>
      <c r="W86" s="78">
        <f t="shared" ref="W86:W88" si="15">U86-R86</f>
        <v>51155369.280000001</v>
      </c>
      <c r="X86" s="63"/>
      <c r="Y86" s="68"/>
      <c r="Z86" s="5"/>
      <c r="AA86" s="5"/>
    </row>
    <row r="87" spans="1:27" ht="14.25" customHeight="1">
      <c r="A87" s="1"/>
      <c r="B87" s="79"/>
      <c r="C87" s="79"/>
      <c r="D87" s="79"/>
      <c r="E87" s="1"/>
      <c r="F87" s="1"/>
      <c r="G87" s="1"/>
      <c r="H87" s="2"/>
      <c r="I87" s="2"/>
      <c r="J87" s="3"/>
      <c r="K87" s="80"/>
      <c r="L87" s="80"/>
      <c r="M87" s="80"/>
      <c r="N87" s="80"/>
      <c r="O87" s="80"/>
      <c r="P87" s="80"/>
      <c r="Q87" s="81">
        <v>3</v>
      </c>
      <c r="R87" s="82"/>
      <c r="S87" s="83"/>
      <c r="T87" s="84">
        <v>3</v>
      </c>
      <c r="U87" s="82">
        <f>U15+U16+U19+U22+U23+U26+U34+U36+U40+U43+U45+U46+U47+U50+U52+U53+U54+U55+U57+U59+U60+U61+U62+U63+U65+U67+U70+U71</f>
        <v>9896291.6699999981</v>
      </c>
      <c r="V87" s="85"/>
      <c r="W87" s="86">
        <f t="shared" si="15"/>
        <v>9896291.6699999981</v>
      </c>
      <c r="X87" s="1"/>
      <c r="Y87" s="68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7">
        <v>4</v>
      </c>
      <c r="R88" s="88"/>
      <c r="S88" s="83"/>
      <c r="T88" s="89">
        <v>4</v>
      </c>
      <c r="U88" s="88">
        <f>U33+U35+U37+U39+U41+U42+U44+U48+U49+U51+U56+U58+U64+U66+U68+U69</f>
        <v>0</v>
      </c>
      <c r="V88" s="90"/>
      <c r="W88" s="91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65" t="s">
        <v>130</v>
      </c>
      <c r="L89" s="166"/>
      <c r="M89" s="166"/>
      <c r="N89" s="167"/>
      <c r="O89" s="5"/>
      <c r="P89" s="5"/>
      <c r="Q89" s="152" t="s">
        <v>131</v>
      </c>
      <c r="R89" s="143"/>
      <c r="S89" s="63"/>
      <c r="T89" s="153" t="s">
        <v>132</v>
      </c>
      <c r="U89" s="143"/>
      <c r="V89" s="90"/>
      <c r="W89" s="8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68" t="s">
        <v>134</v>
      </c>
      <c r="G90" s="148"/>
      <c r="H90" s="148"/>
      <c r="I90" s="148"/>
      <c r="J90" s="5"/>
      <c r="K90" s="92"/>
      <c r="L90" s="92"/>
      <c r="M90" s="92"/>
      <c r="N90" s="92"/>
      <c r="O90" s="5"/>
      <c r="P90" s="5"/>
      <c r="Q90" s="74"/>
      <c r="R90" s="74"/>
      <c r="S90" s="74"/>
      <c r="T90" s="13"/>
      <c r="U90" s="85"/>
      <c r="V90" s="90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2"/>
      <c r="L91" s="92" t="s">
        <v>135</v>
      </c>
      <c r="M91" s="92"/>
      <c r="N91" s="92"/>
      <c r="O91" s="5"/>
      <c r="P91" s="5"/>
      <c r="Q91" s="80"/>
      <c r="R91" s="80"/>
      <c r="S91" s="80"/>
      <c r="T91" s="93" t="s">
        <v>136</v>
      </c>
      <c r="U91" s="94">
        <f>SUM(U86:U88)</f>
        <v>61051660.950000003</v>
      </c>
      <c r="V91" s="5"/>
      <c r="W91" s="68">
        <f>SUM(W86:W90)</f>
        <v>61051660.950000003</v>
      </c>
      <c r="X91" s="68"/>
      <c r="Y91" s="68"/>
      <c r="Z91" s="5"/>
      <c r="AA91" s="5"/>
    </row>
    <row r="92" spans="1:27" ht="14.25" customHeight="1">
      <c r="A92" s="5"/>
      <c r="B92" s="5"/>
      <c r="C92" s="5">
        <v>1</v>
      </c>
      <c r="D92" s="30">
        <f>W17+W18+W20+W21+W24+W25+W27+W28+W29</f>
        <v>51116525.25</v>
      </c>
      <c r="E92" s="5"/>
      <c r="F92" s="5">
        <v>1</v>
      </c>
      <c r="G92" s="30">
        <f>S17+S18+S20+S21+S24+S25+S27+S28+S29</f>
        <v>51194369.280000001</v>
      </c>
      <c r="H92" s="5"/>
      <c r="I92" s="5"/>
      <c r="J92" s="5"/>
      <c r="K92" s="95" t="s">
        <v>137</v>
      </c>
      <c r="L92" s="95">
        <v>1</v>
      </c>
      <c r="M92" s="96">
        <f>L17+L18+L20+L21+L24+L25+L27+L28+L29</f>
        <v>20346257.030000001</v>
      </c>
      <c r="N92" s="97">
        <f>M92-M93+Q73</f>
        <v>0</v>
      </c>
      <c r="O92" s="5"/>
      <c r="P92" s="5"/>
      <c r="Q92" s="5"/>
      <c r="R92" s="98"/>
      <c r="S92" s="5"/>
      <c r="T92" s="5"/>
      <c r="U92" s="5"/>
      <c r="V92" s="5"/>
      <c r="W92" s="5"/>
      <c r="X92" s="68"/>
      <c r="Y92" s="5"/>
      <c r="Z92" s="5"/>
      <c r="AA92" s="5"/>
    </row>
    <row r="93" spans="1:27" ht="14.25" customHeight="1">
      <c r="A93" s="5"/>
      <c r="B93" s="5"/>
      <c r="C93" s="5">
        <v>3</v>
      </c>
      <c r="D93" s="30">
        <f>W15+W16+W19+W22+W23+W26+W34+W36+W40+W43+W45+W46+W47+W50+W52+W53+W54+W55+W57+W59+W60+W61+W62+W63+W65+W67+W70+W71</f>
        <v>9285793.1799999997</v>
      </c>
      <c r="E93" s="5"/>
      <c r="F93" s="5">
        <v>3</v>
      </c>
      <c r="G93" s="30">
        <f>S15+S16+S19+S22+S23+S26+S34+S36+S40+S43+S45+S46+S47+S50+S52+S53+S54+S55+S57+S59+S60+S61+S62+S63+S65+S67+S70+S71</f>
        <v>47815482.549999997</v>
      </c>
      <c r="H93" s="5"/>
      <c r="I93" s="5"/>
      <c r="J93" s="5"/>
      <c r="K93" s="92" t="s">
        <v>138</v>
      </c>
      <c r="L93" s="92">
        <v>1</v>
      </c>
      <c r="M93" s="99">
        <f>M17+M18+M20+M21+M24+M25+M27+M28+M29</f>
        <v>20346257.030000001</v>
      </c>
      <c r="N93" s="92"/>
      <c r="O93" s="5"/>
      <c r="P93" s="5"/>
      <c r="Q93" s="5"/>
      <c r="R93" s="98"/>
      <c r="S93" s="5"/>
      <c r="T93" s="5"/>
      <c r="U93" s="5"/>
      <c r="V93" s="5"/>
      <c r="W93" s="5"/>
      <c r="X93" s="68"/>
      <c r="Y93" s="68"/>
      <c r="Z93" s="5"/>
      <c r="AA93" s="5"/>
    </row>
    <row r="94" spans="1:27" ht="14.25" customHeight="1">
      <c r="A94" s="5"/>
      <c r="B94" s="5"/>
      <c r="C94" s="5">
        <v>4</v>
      </c>
      <c r="D94" s="100">
        <f>W33+W35+W37+W39+W41+W42+W44+W48+W49+W51+W56+W58+W64+W66+W68+W69</f>
        <v>0</v>
      </c>
      <c r="E94" s="5"/>
      <c r="F94" s="5">
        <v>4</v>
      </c>
      <c r="G94" s="30">
        <f>S33+S35+S37+S39+S41+S42+S44+S48+S49+S51+S56+S58+S64+S66+S68+S69</f>
        <v>2093387.59</v>
      </c>
      <c r="H94" s="5"/>
      <c r="I94" s="5"/>
      <c r="J94" s="5"/>
      <c r="K94" s="92"/>
      <c r="L94" s="92"/>
      <c r="M94" s="92"/>
      <c r="N94" s="92"/>
      <c r="O94" s="5"/>
      <c r="P94" s="5"/>
      <c r="Q94" s="5"/>
      <c r="R94" s="98"/>
      <c r="S94" s="5"/>
      <c r="T94" s="101" t="s">
        <v>139</v>
      </c>
      <c r="U94" s="102">
        <f>U15+U16+U19+U22+U23+U26</f>
        <v>9285793.1799999997</v>
      </c>
      <c r="V94" s="5"/>
      <c r="W94" s="68"/>
      <c r="X94" s="68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2"/>
      <c r="L95" s="92"/>
      <c r="M95" s="97">
        <f>M92-M93</f>
        <v>0</v>
      </c>
      <c r="N95" s="92"/>
      <c r="O95" s="5"/>
      <c r="P95" s="5"/>
      <c r="Q95" s="5"/>
      <c r="R95" s="5"/>
      <c r="S95" s="5"/>
      <c r="T95" s="101" t="s">
        <v>140</v>
      </c>
      <c r="U95" s="102">
        <f>U40+U42+U47+U48+U50+U53+U55+U56+U57+U60</f>
        <v>37015.29</v>
      </c>
      <c r="V95" s="68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2"/>
      <c r="N96" s="92"/>
      <c r="O96" s="5"/>
      <c r="P96" s="5"/>
      <c r="Q96" s="5"/>
      <c r="R96" s="5"/>
      <c r="S96" s="5"/>
      <c r="T96" s="101" t="s">
        <v>136</v>
      </c>
      <c r="U96" s="102">
        <f>U94+U95</f>
        <v>9322808.4699999988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 t="s">
        <v>141</v>
      </c>
      <c r="M97" s="92"/>
      <c r="N97" s="9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5" t="s">
        <v>137</v>
      </c>
      <c r="L98" s="95">
        <v>3</v>
      </c>
      <c r="M98" s="96">
        <f>L15+L16+L19+L22+L23+L26+L34+L36+L40+L43+L45+L46+L47+L50+L52+L53+L54+L55+L57+L59+L60+L61+L62+L63+L65+L67+L70+L71</f>
        <v>4916890.21</v>
      </c>
      <c r="N98" s="97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2" t="s">
        <v>142</v>
      </c>
      <c r="L99" s="92">
        <v>3</v>
      </c>
      <c r="M99" s="99">
        <f>M15+M16+M19+M22+M23+M26+M34+M36+M40+M43+M45+M46+M47+M50+M52+M53+M54+M55+M57+M59+M60+M61+M62+M63+M65+M67+M70+M71</f>
        <v>4428406.1099999994</v>
      </c>
      <c r="N99" s="9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8"/>
      <c r="E100" s="5"/>
      <c r="F100" s="5"/>
      <c r="G100" s="5"/>
      <c r="H100" s="5"/>
      <c r="I100" s="5"/>
      <c r="J100" s="5"/>
      <c r="K100" s="92"/>
      <c r="L100" s="92"/>
      <c r="M100" s="92"/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7">
        <f>M98-M99</f>
        <v>488484.10000000056</v>
      </c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 t="s">
        <v>135</v>
      </c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5" t="s">
        <v>143</v>
      </c>
      <c r="L104" s="95">
        <v>4</v>
      </c>
      <c r="M104" s="96">
        <f>L33+L35+L37+L39+L41+L42+L44+L48+L49+L51+L56+L58+L64+L66+L68+L69</f>
        <v>559620</v>
      </c>
      <c r="N104" s="97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2" t="s">
        <v>144</v>
      </c>
      <c r="L105" s="92">
        <v>4</v>
      </c>
      <c r="M105" s="99">
        <f>M33+M35+M37+M39+M41+M42+M44+M48+M49+M51+M56+M58+M64+M66+M68+M69</f>
        <v>1909620</v>
      </c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2"/>
      <c r="N106" s="9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8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8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41" t="s">
        <v>0</v>
      </c>
      <c r="B1" s="142"/>
      <c r="C1" s="142"/>
      <c r="D1" s="142"/>
      <c r="E1" s="142"/>
      <c r="F1" s="14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4" t="s">
        <v>1</v>
      </c>
      <c r="B2" s="145"/>
      <c r="C2" s="145"/>
      <c r="D2" s="145"/>
      <c r="E2" s="145"/>
      <c r="F2" s="14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4" t="s">
        <v>2</v>
      </c>
      <c r="B3" s="145"/>
      <c r="C3" s="145"/>
      <c r="D3" s="145"/>
      <c r="E3" s="145"/>
      <c r="F3" s="14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41" t="s">
        <v>145</v>
      </c>
      <c r="B4" s="142"/>
      <c r="C4" s="142"/>
      <c r="D4" s="142"/>
      <c r="E4" s="142"/>
      <c r="F4" s="14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41" t="s">
        <v>146</v>
      </c>
      <c r="B6" s="142"/>
      <c r="C6" s="142"/>
      <c r="D6" s="142"/>
      <c r="E6" s="142"/>
      <c r="F6" s="14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41" t="s">
        <v>147</v>
      </c>
      <c r="B7" s="142"/>
      <c r="C7" s="142"/>
      <c r="D7" s="142"/>
      <c r="E7" s="142"/>
      <c r="F7" s="14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47" t="s">
        <v>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3"/>
      <c r="X11" s="1"/>
      <c r="Y11" s="5"/>
      <c r="Z11" s="5"/>
      <c r="AA11" s="5"/>
    </row>
    <row r="12" spans="1:27" ht="14.25" customHeight="1">
      <c r="A12" s="151" t="s">
        <v>8</v>
      </c>
      <c r="B12" s="142"/>
      <c r="C12" s="142"/>
      <c r="D12" s="142"/>
      <c r="E12" s="142"/>
      <c r="F12" s="142"/>
      <c r="G12" s="142"/>
      <c r="H12" s="142"/>
      <c r="I12" s="142"/>
      <c r="J12" s="143"/>
      <c r="K12" s="149" t="s">
        <v>9</v>
      </c>
      <c r="L12" s="151" t="s">
        <v>10</v>
      </c>
      <c r="M12" s="143"/>
      <c r="N12" s="149" t="s">
        <v>11</v>
      </c>
      <c r="O12" s="149" t="s">
        <v>12</v>
      </c>
      <c r="P12" s="151" t="s">
        <v>13</v>
      </c>
      <c r="Q12" s="143"/>
      <c r="R12" s="149" t="s">
        <v>14</v>
      </c>
      <c r="S12" s="151" t="s">
        <v>15</v>
      </c>
      <c r="T12" s="142"/>
      <c r="U12" s="142"/>
      <c r="V12" s="142"/>
      <c r="W12" s="142"/>
      <c r="X12" s="143"/>
      <c r="Y12" s="5"/>
      <c r="Z12" s="5"/>
      <c r="AA12" s="5"/>
    </row>
    <row r="13" spans="1:27" ht="14.25" customHeight="1">
      <c r="A13" s="151" t="s">
        <v>16</v>
      </c>
      <c r="B13" s="143"/>
      <c r="C13" s="149" t="s">
        <v>17</v>
      </c>
      <c r="D13" s="149" t="s">
        <v>18</v>
      </c>
      <c r="E13" s="151" t="s">
        <v>19</v>
      </c>
      <c r="F13" s="143"/>
      <c r="G13" s="149" t="s">
        <v>20</v>
      </c>
      <c r="H13" s="151" t="s">
        <v>21</v>
      </c>
      <c r="I13" s="143"/>
      <c r="J13" s="154" t="s">
        <v>22</v>
      </c>
      <c r="K13" s="150"/>
      <c r="L13" s="14" t="s">
        <v>23</v>
      </c>
      <c r="M13" s="14" t="s">
        <v>24</v>
      </c>
      <c r="N13" s="150"/>
      <c r="O13" s="150"/>
      <c r="P13" s="15" t="s">
        <v>25</v>
      </c>
      <c r="Q13" s="15" t="s">
        <v>26</v>
      </c>
      <c r="R13" s="15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50"/>
      <c r="D14" s="150"/>
      <c r="E14" s="15" t="s">
        <v>32</v>
      </c>
      <c r="F14" s="15" t="s">
        <v>33</v>
      </c>
      <c r="G14" s="150"/>
      <c r="H14" s="15" t="s">
        <v>31</v>
      </c>
      <c r="I14" s="15" t="s">
        <v>19</v>
      </c>
      <c r="J14" s="15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104" t="s">
        <v>148</v>
      </c>
      <c r="I15" s="23" t="s">
        <v>56</v>
      </c>
      <c r="J15" s="24">
        <v>3</v>
      </c>
      <c r="K15" s="105">
        <v>2000000</v>
      </c>
      <c r="L15" s="105">
        <v>0</v>
      </c>
      <c r="M15" s="105">
        <v>0</v>
      </c>
      <c r="N15" s="26">
        <f t="shared" ref="N15:N30" si="0">K15+L15-M15</f>
        <v>2000000</v>
      </c>
      <c r="O15" s="27"/>
      <c r="P15" s="27"/>
      <c r="Q15" s="27"/>
      <c r="R15" s="26">
        <f t="shared" ref="R15:R30" si="1">N15-O15+P15+Q15</f>
        <v>2000000</v>
      </c>
      <c r="S15" s="105">
        <v>0</v>
      </c>
      <c r="T15" s="28">
        <f t="shared" ref="T15:T31" si="2">IF(R15&gt;0,S15/R15,0)</f>
        <v>0</v>
      </c>
      <c r="U15" s="106">
        <v>0</v>
      </c>
      <c r="V15" s="28">
        <f t="shared" ref="V15:V31" si="3">IF(R15&gt;0,U15/R15,0)</f>
        <v>0</v>
      </c>
      <c r="W15" s="105">
        <v>0</v>
      </c>
      <c r="X15" s="28">
        <f t="shared" ref="X15:X31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104" t="s">
        <v>148</v>
      </c>
      <c r="I16" s="23" t="s">
        <v>56</v>
      </c>
      <c r="J16" s="24">
        <v>3</v>
      </c>
      <c r="K16" s="105">
        <v>76324000</v>
      </c>
      <c r="L16" s="105">
        <v>0</v>
      </c>
      <c r="M16" s="105">
        <v>0</v>
      </c>
      <c r="N16" s="26">
        <f t="shared" si="0"/>
        <v>76324000</v>
      </c>
      <c r="O16" s="27"/>
      <c r="P16" s="27"/>
      <c r="Q16" s="27"/>
      <c r="R16" s="26">
        <f t="shared" si="1"/>
        <v>76324000</v>
      </c>
      <c r="S16" s="105">
        <v>6108824.79</v>
      </c>
      <c r="T16" s="28">
        <f t="shared" si="2"/>
        <v>8.0038058670929196E-2</v>
      </c>
      <c r="U16" s="106">
        <v>6108824.79</v>
      </c>
      <c r="V16" s="28">
        <f t="shared" si="3"/>
        <v>8.0038058670929196E-2</v>
      </c>
      <c r="W16" s="105">
        <v>6108824.79</v>
      </c>
      <c r="X16" s="28">
        <f t="shared" si="4"/>
        <v>8.0038058670929196E-2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104" t="s">
        <v>148</v>
      </c>
      <c r="I17" s="23" t="s">
        <v>56</v>
      </c>
      <c r="J17" s="31">
        <v>1</v>
      </c>
      <c r="K17" s="105">
        <v>461873000</v>
      </c>
      <c r="L17" s="105">
        <v>1782000</v>
      </c>
      <c r="M17" s="105">
        <v>1782000</v>
      </c>
      <c r="N17" s="26">
        <f t="shared" si="0"/>
        <v>461873000</v>
      </c>
      <c r="O17" s="27"/>
      <c r="P17" s="27"/>
      <c r="Q17" s="27"/>
      <c r="R17" s="26">
        <f t="shared" si="1"/>
        <v>461873000</v>
      </c>
      <c r="S17" s="105">
        <v>35422066.520000003</v>
      </c>
      <c r="T17" s="28">
        <f t="shared" si="2"/>
        <v>7.6692221714627182E-2</v>
      </c>
      <c r="U17" s="107">
        <v>35422066.520000003</v>
      </c>
      <c r="V17" s="28">
        <f t="shared" si="3"/>
        <v>7.6692221714627182E-2</v>
      </c>
      <c r="W17" s="105">
        <v>34850407.039999999</v>
      </c>
      <c r="X17" s="28">
        <f t="shared" si="4"/>
        <v>7.5454523299694931E-2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104" t="s">
        <v>148</v>
      </c>
      <c r="I18" s="33" t="s">
        <v>63</v>
      </c>
      <c r="J18" s="31">
        <v>1</v>
      </c>
      <c r="K18" s="108">
        <v>120000</v>
      </c>
      <c r="L18" s="109">
        <v>0</v>
      </c>
      <c r="M18" s="109">
        <v>0</v>
      </c>
      <c r="N18" s="36">
        <f t="shared" si="0"/>
        <v>120000</v>
      </c>
      <c r="O18" s="36"/>
      <c r="P18" s="36"/>
      <c r="Q18" s="36"/>
      <c r="R18" s="36">
        <f t="shared" si="1"/>
        <v>120000</v>
      </c>
      <c r="S18" s="110">
        <v>0</v>
      </c>
      <c r="T18" s="38">
        <f t="shared" si="2"/>
        <v>0</v>
      </c>
      <c r="U18" s="107">
        <v>0</v>
      </c>
      <c r="V18" s="38">
        <f t="shared" si="3"/>
        <v>0</v>
      </c>
      <c r="W18" s="109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104" t="s">
        <v>148</v>
      </c>
      <c r="I19" s="23" t="s">
        <v>56</v>
      </c>
      <c r="J19" s="24">
        <v>3</v>
      </c>
      <c r="K19" s="105">
        <v>21351000</v>
      </c>
      <c r="L19" s="105">
        <v>0</v>
      </c>
      <c r="M19" s="105">
        <v>0</v>
      </c>
      <c r="N19" s="26">
        <f t="shared" si="0"/>
        <v>21351000</v>
      </c>
      <c r="O19" s="27"/>
      <c r="P19" s="27"/>
      <c r="Q19" s="27"/>
      <c r="R19" s="26">
        <f t="shared" si="1"/>
        <v>21351000</v>
      </c>
      <c r="S19" s="105">
        <v>1742171</v>
      </c>
      <c r="T19" s="28">
        <f t="shared" si="2"/>
        <v>8.1596693363308506E-2</v>
      </c>
      <c r="U19" s="106">
        <v>1742171</v>
      </c>
      <c r="V19" s="28">
        <f t="shared" si="3"/>
        <v>8.1596693363308506E-2</v>
      </c>
      <c r="W19" s="105">
        <v>1742171</v>
      </c>
      <c r="X19" s="28">
        <f t="shared" si="4"/>
        <v>8.1596693363308506E-2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104" t="s">
        <v>113</v>
      </c>
      <c r="E20" s="23" t="s">
        <v>65</v>
      </c>
      <c r="F20" s="104" t="s">
        <v>149</v>
      </c>
      <c r="G20" s="23" t="s">
        <v>54</v>
      </c>
      <c r="H20" s="104" t="s">
        <v>148</v>
      </c>
      <c r="I20" s="23" t="s">
        <v>56</v>
      </c>
      <c r="J20" s="24">
        <v>3</v>
      </c>
      <c r="K20" s="105">
        <v>475000</v>
      </c>
      <c r="L20" s="105">
        <v>0</v>
      </c>
      <c r="M20" s="105">
        <v>0</v>
      </c>
      <c r="N20" s="26">
        <f t="shared" si="0"/>
        <v>475000</v>
      </c>
      <c r="O20" s="27"/>
      <c r="P20" s="27"/>
      <c r="Q20" s="27"/>
      <c r="R20" s="26">
        <f t="shared" si="1"/>
        <v>475000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67</v>
      </c>
      <c r="E21" s="23" t="s">
        <v>65</v>
      </c>
      <c r="F21" s="23" t="s">
        <v>68</v>
      </c>
      <c r="G21" s="23" t="s">
        <v>54</v>
      </c>
      <c r="H21" s="104" t="s">
        <v>148</v>
      </c>
      <c r="I21" s="23" t="s">
        <v>56</v>
      </c>
      <c r="J21" s="31">
        <v>1</v>
      </c>
      <c r="K21" s="105">
        <v>111000000</v>
      </c>
      <c r="L21" s="105">
        <v>1191000</v>
      </c>
      <c r="M21" s="105">
        <v>1191000</v>
      </c>
      <c r="N21" s="26">
        <f t="shared" si="0"/>
        <v>111000000</v>
      </c>
      <c r="O21" s="27"/>
      <c r="P21" s="27"/>
      <c r="Q21" s="27"/>
      <c r="R21" s="26">
        <f t="shared" si="1"/>
        <v>111000000</v>
      </c>
      <c r="S21" s="105">
        <v>9297857.4000000004</v>
      </c>
      <c r="T21" s="28">
        <f t="shared" si="2"/>
        <v>8.3764481081081088E-2</v>
      </c>
      <c r="U21" s="107">
        <v>9287676.4100000001</v>
      </c>
      <c r="V21" s="28">
        <f t="shared" si="3"/>
        <v>8.3672760450450454E-2</v>
      </c>
      <c r="W21" s="105">
        <v>8748384.4399999995</v>
      </c>
      <c r="X21" s="28">
        <f t="shared" si="4"/>
        <v>7.8814274234234233E-2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69</v>
      </c>
      <c r="E22" s="23" t="s">
        <v>65</v>
      </c>
      <c r="F22" s="23" t="s">
        <v>70</v>
      </c>
      <c r="G22" s="23" t="s">
        <v>54</v>
      </c>
      <c r="H22" s="104" t="s">
        <v>148</v>
      </c>
      <c r="I22" s="23" t="s">
        <v>56</v>
      </c>
      <c r="J22" s="31">
        <v>1</v>
      </c>
      <c r="K22" s="105">
        <v>131100000</v>
      </c>
      <c r="L22" s="105">
        <v>303000</v>
      </c>
      <c r="M22" s="105">
        <v>303000</v>
      </c>
      <c r="N22" s="26">
        <f t="shared" si="0"/>
        <v>131100000</v>
      </c>
      <c r="O22" s="27"/>
      <c r="P22" s="27"/>
      <c r="Q22" s="27"/>
      <c r="R22" s="26">
        <f t="shared" si="1"/>
        <v>131100000</v>
      </c>
      <c r="S22" s="105">
        <v>11693387.26</v>
      </c>
      <c r="T22" s="28">
        <f t="shared" si="2"/>
        <v>8.9194410831426388E-2</v>
      </c>
      <c r="U22" s="107">
        <v>11693387.26</v>
      </c>
      <c r="V22" s="28">
        <f t="shared" si="3"/>
        <v>8.9194410831426388E-2</v>
      </c>
      <c r="W22" s="105">
        <v>11385405.73</v>
      </c>
      <c r="X22" s="28">
        <f t="shared" si="4"/>
        <v>8.6845200076277648E-2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50</v>
      </c>
      <c r="D23" s="23" t="s">
        <v>71</v>
      </c>
      <c r="E23" s="23" t="s">
        <v>65</v>
      </c>
      <c r="F23" s="23" t="s">
        <v>72</v>
      </c>
      <c r="G23" s="23" t="s">
        <v>54</v>
      </c>
      <c r="H23" s="104" t="s">
        <v>148</v>
      </c>
      <c r="I23" s="23" t="s">
        <v>56</v>
      </c>
      <c r="J23" s="24">
        <v>3</v>
      </c>
      <c r="K23" s="105">
        <v>24100000</v>
      </c>
      <c r="L23" s="105">
        <v>0</v>
      </c>
      <c r="M23" s="105">
        <v>0</v>
      </c>
      <c r="N23" s="26">
        <f t="shared" si="0"/>
        <v>24100000</v>
      </c>
      <c r="O23" s="27"/>
      <c r="P23" s="27"/>
      <c r="Q23" s="27"/>
      <c r="R23" s="26">
        <f t="shared" si="1"/>
        <v>24100000</v>
      </c>
      <c r="S23" s="105">
        <v>1931632.28</v>
      </c>
      <c r="T23" s="28">
        <f t="shared" si="2"/>
        <v>8.0150717012448136E-2</v>
      </c>
      <c r="U23" s="106">
        <v>1931632.28</v>
      </c>
      <c r="V23" s="28">
        <f t="shared" si="3"/>
        <v>8.0150717012448136E-2</v>
      </c>
      <c r="W23" s="105">
        <v>1931632.28</v>
      </c>
      <c r="X23" s="28">
        <f t="shared" si="4"/>
        <v>8.0150717012448136E-2</v>
      </c>
      <c r="Y23" s="5"/>
      <c r="Z23" s="5"/>
      <c r="AA23" s="5"/>
    </row>
    <row r="24" spans="1:27" ht="63" hidden="1" customHeight="1">
      <c r="A24" s="22" t="s">
        <v>48</v>
      </c>
      <c r="B24" s="23" t="s">
        <v>49</v>
      </c>
      <c r="C24" s="23" t="s">
        <v>73</v>
      </c>
      <c r="D24" s="23" t="s">
        <v>74</v>
      </c>
      <c r="E24" s="23" t="s">
        <v>65</v>
      </c>
      <c r="F24" s="23" t="s">
        <v>75</v>
      </c>
      <c r="G24" s="23" t="s">
        <v>54</v>
      </c>
      <c r="H24" s="23" t="s">
        <v>55</v>
      </c>
      <c r="I24" s="23" t="s">
        <v>63</v>
      </c>
      <c r="J24" s="24">
        <v>3</v>
      </c>
      <c r="K24" s="25"/>
      <c r="L24" s="25"/>
      <c r="M24" s="25"/>
      <c r="N24" s="26">
        <f t="shared" si="0"/>
        <v>0</v>
      </c>
      <c r="O24" s="27"/>
      <c r="P24" s="27"/>
      <c r="Q24" s="27"/>
      <c r="R24" s="26">
        <f t="shared" si="1"/>
        <v>0</v>
      </c>
      <c r="S24" s="25"/>
      <c r="T24" s="28">
        <f t="shared" si="2"/>
        <v>0</v>
      </c>
      <c r="U24" s="29"/>
      <c r="V24" s="28">
        <f t="shared" si="3"/>
        <v>0</v>
      </c>
      <c r="W24" s="25"/>
      <c r="X24" s="28">
        <f t="shared" si="4"/>
        <v>0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76</v>
      </c>
      <c r="D25" s="23" t="s">
        <v>77</v>
      </c>
      <c r="E25" s="33" t="s">
        <v>65</v>
      </c>
      <c r="F25" s="23" t="s">
        <v>78</v>
      </c>
      <c r="G25" s="23" t="s">
        <v>54</v>
      </c>
      <c r="H25" s="104" t="s">
        <v>148</v>
      </c>
      <c r="I25" s="23" t="s">
        <v>56</v>
      </c>
      <c r="J25" s="31">
        <v>1</v>
      </c>
      <c r="K25" s="108">
        <v>120000</v>
      </c>
      <c r="L25" s="105">
        <v>0</v>
      </c>
      <c r="M25" s="105">
        <v>0</v>
      </c>
      <c r="N25" s="26">
        <f t="shared" si="0"/>
        <v>120000</v>
      </c>
      <c r="O25" s="26"/>
      <c r="P25" s="26"/>
      <c r="Q25" s="26"/>
      <c r="R25" s="26">
        <f t="shared" si="1"/>
        <v>120000</v>
      </c>
      <c r="S25" s="109">
        <v>3390</v>
      </c>
      <c r="T25" s="28">
        <f t="shared" si="2"/>
        <v>2.8250000000000001E-2</v>
      </c>
      <c r="U25" s="107">
        <v>3390</v>
      </c>
      <c r="V25" s="28">
        <f t="shared" si="3"/>
        <v>2.8250000000000001E-2</v>
      </c>
      <c r="W25" s="105">
        <v>3390</v>
      </c>
      <c r="X25" s="28">
        <f t="shared" si="4"/>
        <v>2.8250000000000001E-2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104" t="s">
        <v>148</v>
      </c>
      <c r="I26" s="23" t="s">
        <v>63</v>
      </c>
      <c r="J26" s="31">
        <v>1</v>
      </c>
      <c r="K26" s="25">
        <f>115250000-K27</f>
        <v>109500000</v>
      </c>
      <c r="L26" s="105">
        <v>3160000</v>
      </c>
      <c r="M26" s="105">
        <v>3160000</v>
      </c>
      <c r="N26" s="26">
        <f t="shared" si="0"/>
        <v>109500000</v>
      </c>
      <c r="O26" s="26"/>
      <c r="P26" s="26"/>
      <c r="Q26" s="26"/>
      <c r="R26" s="26">
        <f t="shared" si="1"/>
        <v>109500000</v>
      </c>
      <c r="S26" s="25">
        <f>7560819.59-S27</f>
        <v>7122568.8399999999</v>
      </c>
      <c r="T26" s="28">
        <f t="shared" si="2"/>
        <v>6.5046290776255705E-2</v>
      </c>
      <c r="U26" s="32">
        <f>7460819.59-U27</f>
        <v>7022568.8399999999</v>
      </c>
      <c r="V26" s="28">
        <f t="shared" si="3"/>
        <v>6.413304876712328E-2</v>
      </c>
      <c r="W26" s="25">
        <f>7460819.59-W27</f>
        <v>7022568.8399999999</v>
      </c>
      <c r="X26" s="28">
        <f t="shared" si="4"/>
        <v>6.413304876712328E-2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104" t="s">
        <v>148</v>
      </c>
      <c r="I27" s="23" t="s">
        <v>63</v>
      </c>
      <c r="J27" s="24">
        <v>3</v>
      </c>
      <c r="K27" s="105">
        <v>5750000</v>
      </c>
      <c r="L27" s="25"/>
      <c r="M27" s="25"/>
      <c r="N27" s="26">
        <f t="shared" si="0"/>
        <v>5750000</v>
      </c>
      <c r="O27" s="26"/>
      <c r="P27" s="26"/>
      <c r="Q27" s="26"/>
      <c r="R27" s="26">
        <f t="shared" si="1"/>
        <v>5750000</v>
      </c>
      <c r="S27" s="105">
        <v>438250.75</v>
      </c>
      <c r="T27" s="28">
        <f t="shared" si="2"/>
        <v>7.6217521739130434E-2</v>
      </c>
      <c r="U27" s="106">
        <v>438250.75</v>
      </c>
      <c r="V27" s="28">
        <f t="shared" si="3"/>
        <v>7.6217521739130434E-2</v>
      </c>
      <c r="W27" s="105">
        <v>438250.75</v>
      </c>
      <c r="X27" s="28">
        <f t="shared" si="4"/>
        <v>7.6217521739130434E-2</v>
      </c>
      <c r="Y27" s="5"/>
      <c r="Z27" s="5"/>
      <c r="AA27" s="5"/>
    </row>
    <row r="28" spans="1:27" ht="63" hidden="1" customHeight="1">
      <c r="A28" s="22" t="s">
        <v>48</v>
      </c>
      <c r="B28" s="23" t="s">
        <v>49</v>
      </c>
      <c r="C28" s="23" t="s">
        <v>79</v>
      </c>
      <c r="D28" s="23" t="s">
        <v>80</v>
      </c>
      <c r="E28" s="23" t="s">
        <v>65</v>
      </c>
      <c r="F28" s="23" t="s">
        <v>81</v>
      </c>
      <c r="G28" s="23" t="s">
        <v>54</v>
      </c>
      <c r="H28" s="23" t="s">
        <v>82</v>
      </c>
      <c r="I28" s="23" t="s">
        <v>63</v>
      </c>
      <c r="J28" s="31">
        <v>1</v>
      </c>
      <c r="K28" s="25"/>
      <c r="L28" s="25"/>
      <c r="M28" s="25"/>
      <c r="N28" s="26">
        <f t="shared" si="0"/>
        <v>0</v>
      </c>
      <c r="O28" s="26"/>
      <c r="P28" s="26"/>
      <c r="Q28" s="26"/>
      <c r="R28" s="26">
        <f t="shared" si="1"/>
        <v>0</v>
      </c>
      <c r="S28" s="25"/>
      <c r="T28" s="28">
        <f t="shared" si="2"/>
        <v>0</v>
      </c>
      <c r="U28" s="32"/>
      <c r="V28" s="28">
        <f t="shared" si="3"/>
        <v>0</v>
      </c>
      <c r="W28" s="25"/>
      <c r="X28" s="28">
        <f t="shared" si="4"/>
        <v>0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104" t="s">
        <v>148</v>
      </c>
      <c r="I29" s="23" t="s">
        <v>63</v>
      </c>
      <c r="J29" s="31">
        <v>1</v>
      </c>
      <c r="K29" s="105">
        <v>73000</v>
      </c>
      <c r="L29" s="25"/>
      <c r="M29" s="25"/>
      <c r="N29" s="26">
        <f t="shared" si="0"/>
        <v>73000</v>
      </c>
      <c r="O29" s="26"/>
      <c r="P29" s="26"/>
      <c r="Q29" s="26"/>
      <c r="R29" s="26">
        <f t="shared" si="1"/>
        <v>73000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63" hidden="1" customHeight="1">
      <c r="A30" s="22" t="s">
        <v>48</v>
      </c>
      <c r="B30" s="23" t="s">
        <v>49</v>
      </c>
      <c r="C30" s="23" t="s">
        <v>83</v>
      </c>
      <c r="D30" s="23" t="s">
        <v>84</v>
      </c>
      <c r="E30" s="23" t="s">
        <v>65</v>
      </c>
      <c r="F30" s="23" t="s">
        <v>85</v>
      </c>
      <c r="G30" s="23" t="s">
        <v>54</v>
      </c>
      <c r="H30" s="23" t="s">
        <v>82</v>
      </c>
      <c r="I30" s="23" t="s">
        <v>63</v>
      </c>
      <c r="J30" s="31">
        <v>1</v>
      </c>
      <c r="K30" s="25"/>
      <c r="L30" s="25"/>
      <c r="M30" s="25"/>
      <c r="N30" s="26">
        <f t="shared" si="0"/>
        <v>0</v>
      </c>
      <c r="O30" s="26"/>
      <c r="P30" s="26"/>
      <c r="Q30" s="26"/>
      <c r="R30" s="26">
        <f t="shared" si="1"/>
        <v>0</v>
      </c>
      <c r="S30" s="25"/>
      <c r="T30" s="28">
        <f t="shared" si="2"/>
        <v>0</v>
      </c>
      <c r="U30" s="32"/>
      <c r="V30" s="28">
        <f t="shared" si="3"/>
        <v>0</v>
      </c>
      <c r="W30" s="25"/>
      <c r="X30" s="28">
        <f t="shared" si="4"/>
        <v>0</v>
      </c>
      <c r="Y30" s="5"/>
      <c r="Z30" s="5"/>
      <c r="AA30" s="5"/>
    </row>
    <row r="31" spans="1:27" ht="16.5" customHeight="1">
      <c r="A31" s="155" t="s">
        <v>86</v>
      </c>
      <c r="B31" s="142"/>
      <c r="C31" s="142"/>
      <c r="D31" s="142"/>
      <c r="E31" s="142"/>
      <c r="F31" s="142"/>
      <c r="G31" s="142"/>
      <c r="H31" s="142"/>
      <c r="I31" s="142"/>
      <c r="J31" s="143"/>
      <c r="K31" s="39">
        <f t="shared" ref="K31:N31" si="5">SUM(K15:K30)</f>
        <v>943786000</v>
      </c>
      <c r="L31" s="39">
        <f t="shared" si="5"/>
        <v>6436000</v>
      </c>
      <c r="M31" s="39">
        <f t="shared" si="5"/>
        <v>6436000</v>
      </c>
      <c r="N31" s="39">
        <f t="shared" si="5"/>
        <v>943786000</v>
      </c>
      <c r="O31" s="39">
        <f t="shared" ref="O31:P31" si="6">SUM(O15:O29)</f>
        <v>0</v>
      </c>
      <c r="P31" s="39">
        <f t="shared" si="6"/>
        <v>0</v>
      </c>
      <c r="Q31" s="39">
        <f t="shared" ref="Q31:S31" si="7">SUM(Q15:Q30)</f>
        <v>0</v>
      </c>
      <c r="R31" s="39">
        <f t="shared" si="7"/>
        <v>943786000</v>
      </c>
      <c r="S31" s="39">
        <f t="shared" si="7"/>
        <v>73760148.840000004</v>
      </c>
      <c r="T31" s="40">
        <f t="shared" si="2"/>
        <v>7.8153467883609218E-2</v>
      </c>
      <c r="U31" s="39">
        <f>SUM(U15:U30)</f>
        <v>73649967.849999994</v>
      </c>
      <c r="V31" s="40">
        <f t="shared" si="3"/>
        <v>7.8036724268001428E-2</v>
      </c>
      <c r="W31" s="39">
        <f>SUM(W15:W30)</f>
        <v>72231034.870000005</v>
      </c>
      <c r="X31" s="40">
        <f t="shared" si="4"/>
        <v>7.6533276473692138E-2</v>
      </c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40"/>
      <c r="W32" s="39"/>
      <c r="X32" s="40"/>
      <c r="Y32" s="5"/>
      <c r="Z32" s="5"/>
      <c r="AA32" s="5"/>
    </row>
    <row r="33" spans="1:27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38"/>
      <c r="U33" s="43"/>
      <c r="V33" s="38"/>
      <c r="W33" s="43"/>
      <c r="X33" s="38"/>
      <c r="Y33" s="5"/>
      <c r="Z33" s="5"/>
      <c r="AA33" s="5"/>
    </row>
    <row r="34" spans="1:27" ht="54" customHeight="1">
      <c r="A34" s="22" t="s">
        <v>87</v>
      </c>
      <c r="B34" s="23" t="s">
        <v>88</v>
      </c>
      <c r="C34" s="23" t="s">
        <v>50</v>
      </c>
      <c r="D34" s="23" t="s">
        <v>89</v>
      </c>
      <c r="E34" s="33" t="s">
        <v>90</v>
      </c>
      <c r="F34" s="23" t="s">
        <v>91</v>
      </c>
      <c r="G34" s="23" t="s">
        <v>54</v>
      </c>
      <c r="H34" s="104" t="s">
        <v>150</v>
      </c>
      <c r="I34" s="23" t="s">
        <v>56</v>
      </c>
      <c r="J34" s="44">
        <v>4</v>
      </c>
      <c r="K34" s="112">
        <v>4000000</v>
      </c>
      <c r="L34" s="105">
        <v>0</v>
      </c>
      <c r="M34" s="105">
        <v>1064601.94</v>
      </c>
      <c r="N34" s="26">
        <f t="shared" ref="N34:N76" si="8">K34+L34-M34</f>
        <v>2935398.06</v>
      </c>
      <c r="O34" s="26"/>
      <c r="P34" s="26"/>
      <c r="Q34" s="26"/>
      <c r="R34" s="26">
        <f t="shared" ref="R34:R76" si="9">N34-O34+P34+Q34</f>
        <v>2935398.06</v>
      </c>
      <c r="S34" s="112">
        <v>0</v>
      </c>
      <c r="T34" s="28">
        <f t="shared" ref="T34:T78" si="10">IF(R34&gt;0,S34/R34,0)</f>
        <v>0</v>
      </c>
      <c r="U34" s="113">
        <v>0</v>
      </c>
      <c r="V34" s="28">
        <f t="shared" ref="V34:V78" si="11">IF(R34&gt;0,U34/R34,0)</f>
        <v>0</v>
      </c>
      <c r="W34" s="25">
        <v>0</v>
      </c>
      <c r="X34" s="28">
        <f t="shared" ref="X34:X78" si="12">IF(R34&gt;0,W34/R34,0)</f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29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95</v>
      </c>
      <c r="E36" s="33" t="s">
        <v>90</v>
      </c>
      <c r="F36" s="23" t="s">
        <v>91</v>
      </c>
      <c r="G36" s="23" t="s">
        <v>54</v>
      </c>
      <c r="H36" s="23" t="s">
        <v>94</v>
      </c>
      <c r="I36" s="23" t="s">
        <v>56</v>
      </c>
      <c r="J36" s="44">
        <v>4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46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22" t="s">
        <v>87</v>
      </c>
      <c r="B37" s="23" t="s">
        <v>88</v>
      </c>
      <c r="C37" s="23" t="s">
        <v>50</v>
      </c>
      <c r="D37" s="23" t="s">
        <v>96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45"/>
      <c r="L37" s="25"/>
      <c r="M37" s="25"/>
      <c r="N37" s="26">
        <f t="shared" si="8"/>
        <v>0</v>
      </c>
      <c r="O37" s="26"/>
      <c r="P37" s="26"/>
      <c r="Q37" s="26"/>
      <c r="R37" s="26">
        <f t="shared" si="9"/>
        <v>0</v>
      </c>
      <c r="S37" s="45"/>
      <c r="T37" s="28">
        <f t="shared" si="10"/>
        <v>0</v>
      </c>
      <c r="U37" s="29"/>
      <c r="V37" s="28">
        <f t="shared" si="11"/>
        <v>0</v>
      </c>
      <c r="W37" s="25"/>
      <c r="X37" s="28">
        <f t="shared" si="12"/>
        <v>0</v>
      </c>
      <c r="Y37" s="5"/>
      <c r="Z37" s="5"/>
      <c r="AA37" s="5"/>
    </row>
    <row r="38" spans="1:27" ht="54" hidden="1" customHeight="1">
      <c r="A38" s="47" t="s">
        <v>87</v>
      </c>
      <c r="B38" s="23" t="s">
        <v>88</v>
      </c>
      <c r="C38" s="48" t="s">
        <v>50</v>
      </c>
      <c r="D38" s="48" t="s">
        <v>96</v>
      </c>
      <c r="E38" s="33" t="s">
        <v>90</v>
      </c>
      <c r="F38" s="23" t="s">
        <v>91</v>
      </c>
      <c r="G38" s="48" t="s">
        <v>54</v>
      </c>
      <c r="H38" s="48" t="s">
        <v>94</v>
      </c>
      <c r="I38" s="23" t="s">
        <v>56</v>
      </c>
      <c r="J38" s="49">
        <v>4</v>
      </c>
      <c r="K38" s="45"/>
      <c r="L38" s="50"/>
      <c r="M38" s="50"/>
      <c r="N38" s="26">
        <f t="shared" si="8"/>
        <v>0</v>
      </c>
      <c r="O38" s="51"/>
      <c r="P38" s="51"/>
      <c r="Q38" s="51"/>
      <c r="R38" s="26">
        <f t="shared" si="9"/>
        <v>0</v>
      </c>
      <c r="S38" s="52"/>
      <c r="T38" s="28">
        <f t="shared" si="10"/>
        <v>0</v>
      </c>
      <c r="U38" s="53"/>
      <c r="V38" s="28">
        <f t="shared" si="11"/>
        <v>0</v>
      </c>
      <c r="W38" s="50"/>
      <c r="X38" s="28">
        <f t="shared" si="12"/>
        <v>0</v>
      </c>
      <c r="Y38" s="5"/>
      <c r="Z38" s="5"/>
      <c r="AA38" s="5"/>
    </row>
    <row r="39" spans="1:27" ht="54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104" t="s">
        <v>150</v>
      </c>
      <c r="I39" s="23" t="s">
        <v>56</v>
      </c>
      <c r="J39" s="24">
        <v>3</v>
      </c>
      <c r="K39" s="108">
        <v>0</v>
      </c>
      <c r="L39" s="105">
        <v>441781.15</v>
      </c>
      <c r="M39" s="105">
        <v>0</v>
      </c>
      <c r="N39" s="26">
        <f t="shared" si="8"/>
        <v>441781.15</v>
      </c>
      <c r="O39" s="27"/>
      <c r="P39" s="27"/>
      <c r="Q39" s="27"/>
      <c r="R39" s="26">
        <f t="shared" si="9"/>
        <v>441781.15</v>
      </c>
      <c r="S39" s="110">
        <v>387981.41</v>
      </c>
      <c r="T39" s="28">
        <f t="shared" si="10"/>
        <v>0.87822083400344253</v>
      </c>
      <c r="U39" s="10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92</v>
      </c>
      <c r="I40" s="23" t="s">
        <v>56</v>
      </c>
      <c r="J40" s="44">
        <v>4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46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hidden="1" customHeight="1">
      <c r="A41" s="22" t="s">
        <v>87</v>
      </c>
      <c r="B41" s="23" t="s">
        <v>88</v>
      </c>
      <c r="C41" s="23" t="s">
        <v>50</v>
      </c>
      <c r="D41" s="23" t="s">
        <v>97</v>
      </c>
      <c r="E41" s="33" t="s">
        <v>90</v>
      </c>
      <c r="F41" s="23" t="s">
        <v>91</v>
      </c>
      <c r="G41" s="23" t="s">
        <v>54</v>
      </c>
      <c r="H41" s="23" t="s">
        <v>94</v>
      </c>
      <c r="I41" s="23" t="s">
        <v>56</v>
      </c>
      <c r="J41" s="24">
        <v>3</v>
      </c>
      <c r="K41" s="34"/>
      <c r="L41" s="25"/>
      <c r="M41" s="25"/>
      <c r="N41" s="26">
        <f t="shared" si="8"/>
        <v>0</v>
      </c>
      <c r="O41" s="27"/>
      <c r="P41" s="27"/>
      <c r="Q41" s="27"/>
      <c r="R41" s="26">
        <f t="shared" si="9"/>
        <v>0</v>
      </c>
      <c r="S41" s="37"/>
      <c r="T41" s="28">
        <f t="shared" si="10"/>
        <v>0</v>
      </c>
      <c r="U41" s="29"/>
      <c r="V41" s="28">
        <f t="shared" si="11"/>
        <v>0</v>
      </c>
      <c r="W41" s="2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104" t="s">
        <v>97</v>
      </c>
      <c r="E42" s="33" t="s">
        <v>90</v>
      </c>
      <c r="F42" s="23" t="s">
        <v>91</v>
      </c>
      <c r="G42" s="23" t="s">
        <v>54</v>
      </c>
      <c r="H42" s="104" t="s">
        <v>150</v>
      </c>
      <c r="I42" s="23" t="s">
        <v>56</v>
      </c>
      <c r="J42" s="44">
        <v>4</v>
      </c>
      <c r="K42" s="108">
        <v>0</v>
      </c>
      <c r="L42" s="105">
        <v>622820.79</v>
      </c>
      <c r="M42" s="105">
        <v>0</v>
      </c>
      <c r="N42" s="26">
        <f t="shared" si="8"/>
        <v>622820.79</v>
      </c>
      <c r="O42" s="27"/>
      <c r="P42" s="27"/>
      <c r="Q42" s="27"/>
      <c r="R42" s="26">
        <f t="shared" si="9"/>
        <v>622820.79</v>
      </c>
      <c r="S42" s="37">
        <f>305000+317820.79</f>
        <v>622820.79</v>
      </c>
      <c r="T42" s="28">
        <f t="shared" si="10"/>
        <v>1</v>
      </c>
      <c r="U42" s="113">
        <v>0</v>
      </c>
      <c r="V42" s="28">
        <f t="shared" si="11"/>
        <v>0</v>
      </c>
      <c r="W42" s="3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104" t="s">
        <v>98</v>
      </c>
      <c r="E43" s="33" t="s">
        <v>90</v>
      </c>
      <c r="F43" s="104" t="s">
        <v>99</v>
      </c>
      <c r="G43" s="23" t="s">
        <v>54</v>
      </c>
      <c r="H43" s="104" t="s">
        <v>150</v>
      </c>
      <c r="I43" s="23" t="s">
        <v>56</v>
      </c>
      <c r="J43" s="44">
        <v>4</v>
      </c>
      <c r="K43" s="108">
        <v>16520000</v>
      </c>
      <c r="L43" s="105">
        <v>0</v>
      </c>
      <c r="M43" s="105">
        <v>9434675.1400000006</v>
      </c>
      <c r="N43" s="26">
        <f t="shared" si="8"/>
        <v>7085324.8599999994</v>
      </c>
      <c r="O43" s="26"/>
      <c r="P43" s="26"/>
      <c r="Q43" s="26"/>
      <c r="R43" s="26">
        <f t="shared" si="9"/>
        <v>7085324.8599999994</v>
      </c>
      <c r="S43" s="108">
        <v>0</v>
      </c>
      <c r="T43" s="28">
        <f t="shared" si="10"/>
        <v>0</v>
      </c>
      <c r="U43" s="113">
        <v>0</v>
      </c>
      <c r="V43" s="28">
        <f t="shared" si="11"/>
        <v>0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104" t="s">
        <v>151</v>
      </c>
      <c r="E44" s="33" t="s">
        <v>90</v>
      </c>
      <c r="F44" s="104" t="s">
        <v>99</v>
      </c>
      <c r="G44" s="23" t="s">
        <v>54</v>
      </c>
      <c r="H44" s="104" t="s">
        <v>150</v>
      </c>
      <c r="I44" s="23" t="s">
        <v>56</v>
      </c>
      <c r="J44" s="44">
        <v>4</v>
      </c>
      <c r="K44" s="108">
        <v>0</v>
      </c>
      <c r="L44" s="105">
        <v>3034594.58</v>
      </c>
      <c r="M44" s="105">
        <v>0</v>
      </c>
      <c r="N44" s="26">
        <f t="shared" si="8"/>
        <v>3034594.58</v>
      </c>
      <c r="O44" s="26"/>
      <c r="P44" s="26"/>
      <c r="Q44" s="26"/>
      <c r="R44" s="26">
        <f t="shared" si="9"/>
        <v>3034594.58</v>
      </c>
      <c r="S44" s="108">
        <v>3034594.58</v>
      </c>
      <c r="T44" s="28">
        <f t="shared" si="10"/>
        <v>1</v>
      </c>
      <c r="U44" s="113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customHeight="1">
      <c r="A45" s="22" t="s">
        <v>87</v>
      </c>
      <c r="B45" s="23" t="s">
        <v>88</v>
      </c>
      <c r="C45" s="23" t="s">
        <v>50</v>
      </c>
      <c r="D45" s="104" t="s">
        <v>152</v>
      </c>
      <c r="E45" s="33" t="s">
        <v>90</v>
      </c>
      <c r="F45" s="104" t="s">
        <v>99</v>
      </c>
      <c r="G45" s="23" t="s">
        <v>54</v>
      </c>
      <c r="H45" s="104" t="s">
        <v>150</v>
      </c>
      <c r="I45" s="23" t="s">
        <v>56</v>
      </c>
      <c r="J45" s="44">
        <v>4</v>
      </c>
      <c r="K45" s="108">
        <v>0</v>
      </c>
      <c r="L45" s="105">
        <v>6400080.5599999996</v>
      </c>
      <c r="M45" s="105">
        <v>0</v>
      </c>
      <c r="N45" s="26">
        <f t="shared" si="8"/>
        <v>6400080.5599999996</v>
      </c>
      <c r="O45" s="26"/>
      <c r="P45" s="26"/>
      <c r="Q45" s="26"/>
      <c r="R45" s="26">
        <f t="shared" si="9"/>
        <v>6400080.5599999996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25">
        <v>0</v>
      </c>
      <c r="X45" s="2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23" t="s">
        <v>88</v>
      </c>
      <c r="C46" s="23" t="s">
        <v>50</v>
      </c>
      <c r="D46" s="104" t="s">
        <v>100</v>
      </c>
      <c r="E46" s="33" t="s">
        <v>90</v>
      </c>
      <c r="F46" s="104" t="s">
        <v>101</v>
      </c>
      <c r="G46" s="23" t="s">
        <v>54</v>
      </c>
      <c r="H46" s="104" t="s">
        <v>150</v>
      </c>
      <c r="I46" s="23" t="s">
        <v>56</v>
      </c>
      <c r="J46" s="44">
        <v>4</v>
      </c>
      <c r="K46" s="108">
        <v>100000</v>
      </c>
      <c r="L46" s="105">
        <v>0</v>
      </c>
      <c r="M46" s="105">
        <v>0</v>
      </c>
      <c r="N46" s="26">
        <f t="shared" si="8"/>
        <v>100000</v>
      </c>
      <c r="O46" s="26"/>
      <c r="P46" s="26"/>
      <c r="Q46" s="26"/>
      <c r="R46" s="26">
        <f t="shared" si="9"/>
        <v>100000</v>
      </c>
      <c r="S46" s="108">
        <v>0</v>
      </c>
      <c r="T46" s="28">
        <f t="shared" si="10"/>
        <v>0</v>
      </c>
      <c r="U46" s="113">
        <v>0</v>
      </c>
      <c r="V46" s="28">
        <f t="shared" si="11"/>
        <v>0</v>
      </c>
      <c r="W46" s="25">
        <v>0</v>
      </c>
      <c r="X46" s="28">
        <f t="shared" si="12"/>
        <v>0</v>
      </c>
      <c r="Y46" s="5"/>
      <c r="Z46" s="5"/>
      <c r="AA46" s="5"/>
    </row>
    <row r="47" spans="1:27" ht="54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104" t="s">
        <v>150</v>
      </c>
      <c r="I47" s="23" t="s">
        <v>56</v>
      </c>
      <c r="J47" s="24">
        <v>3</v>
      </c>
      <c r="K47" s="34">
        <f>54800000-K48</f>
        <v>53000000</v>
      </c>
      <c r="L47" s="105">
        <v>0</v>
      </c>
      <c r="M47" s="105">
        <v>0</v>
      </c>
      <c r="N47" s="26">
        <f t="shared" si="8"/>
        <v>53000000</v>
      </c>
      <c r="O47" s="26"/>
      <c r="P47" s="26"/>
      <c r="Q47" s="26"/>
      <c r="R47" s="26">
        <f t="shared" si="9"/>
        <v>53000000</v>
      </c>
      <c r="S47" s="34">
        <f>21237409.32-S48</f>
        <v>21218374.32</v>
      </c>
      <c r="T47" s="28">
        <f t="shared" si="10"/>
        <v>0.40034668528301887</v>
      </c>
      <c r="U47" s="29">
        <f>1337545.04</f>
        <v>1337545.04</v>
      </c>
      <c r="V47" s="28">
        <f t="shared" si="11"/>
        <v>2.5236698867924529E-2</v>
      </c>
      <c r="W47" s="105">
        <v>1301665.1200000001</v>
      </c>
      <c r="X47" s="28">
        <f t="shared" si="12"/>
        <v>2.455971924528302E-2</v>
      </c>
      <c r="Y47" s="5"/>
      <c r="Z47" s="5"/>
      <c r="AA47" s="5"/>
    </row>
    <row r="48" spans="1:27" ht="54" customHeight="1">
      <c r="A48" s="22" t="s">
        <v>87</v>
      </c>
      <c r="B48" s="23" t="s">
        <v>88</v>
      </c>
      <c r="C48" s="23" t="s">
        <v>50</v>
      </c>
      <c r="D48" s="23" t="s">
        <v>51</v>
      </c>
      <c r="E48" s="33" t="s">
        <v>90</v>
      </c>
      <c r="F48" s="23" t="s">
        <v>102</v>
      </c>
      <c r="G48" s="23" t="s">
        <v>54</v>
      </c>
      <c r="H48" s="104" t="s">
        <v>153</v>
      </c>
      <c r="I48" s="23" t="s">
        <v>56</v>
      </c>
      <c r="J48" s="44">
        <v>4</v>
      </c>
      <c r="K48" s="108">
        <v>1800000</v>
      </c>
      <c r="L48" s="105">
        <v>0</v>
      </c>
      <c r="M48" s="105">
        <v>0</v>
      </c>
      <c r="N48" s="26">
        <f t="shared" si="8"/>
        <v>1800000</v>
      </c>
      <c r="O48" s="26"/>
      <c r="P48" s="26"/>
      <c r="Q48" s="26"/>
      <c r="R48" s="26">
        <f t="shared" si="9"/>
        <v>1800000</v>
      </c>
      <c r="S48" s="105">
        <v>19035</v>
      </c>
      <c r="T48" s="28">
        <f t="shared" si="10"/>
        <v>1.0574999999999999E-2</v>
      </c>
      <c r="U48" s="113">
        <v>0</v>
      </c>
      <c r="V48" s="28">
        <f t="shared" si="11"/>
        <v>0</v>
      </c>
      <c r="W48" s="25">
        <v>0</v>
      </c>
      <c r="X48" s="28">
        <f t="shared" si="12"/>
        <v>0</v>
      </c>
      <c r="Y48" s="5"/>
      <c r="Z48" s="5"/>
      <c r="AA48" s="5"/>
    </row>
    <row r="49" spans="1:27" ht="54" hidden="1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24">
        <v>3</v>
      </c>
      <c r="K49" s="34"/>
      <c r="L49" s="35"/>
      <c r="M49" s="35"/>
      <c r="N49" s="36">
        <f t="shared" si="8"/>
        <v>0</v>
      </c>
      <c r="O49" s="36"/>
      <c r="P49" s="36"/>
      <c r="Q49" s="36"/>
      <c r="R49" s="36">
        <f t="shared" si="9"/>
        <v>0</v>
      </c>
      <c r="S49" s="35"/>
      <c r="T49" s="38">
        <f t="shared" si="10"/>
        <v>0</v>
      </c>
      <c r="U49" s="54"/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114" t="s">
        <v>150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36">
        <f t="shared" si="8"/>
        <v>65000</v>
      </c>
      <c r="O50" s="36"/>
      <c r="P50" s="36"/>
      <c r="Q50" s="36"/>
      <c r="R50" s="3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54" hidden="1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34"/>
      <c r="L51" s="35"/>
      <c r="M51" s="35"/>
      <c r="N51" s="36">
        <f t="shared" si="8"/>
        <v>0</v>
      </c>
      <c r="O51" s="36"/>
      <c r="P51" s="36"/>
      <c r="Q51" s="36"/>
      <c r="R51" s="36">
        <f t="shared" si="9"/>
        <v>0</v>
      </c>
      <c r="S51" s="37"/>
      <c r="T51" s="38">
        <f t="shared" si="10"/>
        <v>0</v>
      </c>
      <c r="U51" s="54"/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114" t="s">
        <v>150</v>
      </c>
      <c r="I52" s="33" t="s">
        <v>63</v>
      </c>
      <c r="J52" s="44">
        <v>4</v>
      </c>
      <c r="K52" s="108">
        <v>5000000</v>
      </c>
      <c r="L52" s="109">
        <v>0</v>
      </c>
      <c r="M52" s="109">
        <v>0</v>
      </c>
      <c r="N52" s="36">
        <f t="shared" si="8"/>
        <v>5000000</v>
      </c>
      <c r="O52" s="36"/>
      <c r="P52" s="36"/>
      <c r="Q52" s="36"/>
      <c r="R52" s="36">
        <f t="shared" si="9"/>
        <v>5000000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33" t="s">
        <v>88</v>
      </c>
      <c r="C53" s="33" t="s">
        <v>50</v>
      </c>
      <c r="D53" s="33" t="s">
        <v>107</v>
      </c>
      <c r="E53" s="33" t="s">
        <v>104</v>
      </c>
      <c r="F53" s="33" t="s">
        <v>108</v>
      </c>
      <c r="G53" s="33" t="s">
        <v>54</v>
      </c>
      <c r="H53" s="114" t="s">
        <v>150</v>
      </c>
      <c r="I53" s="33" t="s">
        <v>63</v>
      </c>
      <c r="J53" s="44">
        <v>4</v>
      </c>
      <c r="K53" s="108">
        <v>100000</v>
      </c>
      <c r="L53" s="109">
        <v>0</v>
      </c>
      <c r="M53" s="109">
        <v>0</v>
      </c>
      <c r="N53" s="36">
        <f t="shared" si="8"/>
        <v>100000</v>
      </c>
      <c r="O53" s="36"/>
      <c r="P53" s="36"/>
      <c r="Q53" s="36"/>
      <c r="R53" s="36">
        <f t="shared" si="9"/>
        <v>100000</v>
      </c>
      <c r="S53" s="110">
        <v>0</v>
      </c>
      <c r="T53" s="38">
        <f t="shared" si="10"/>
        <v>0</v>
      </c>
      <c r="U53" s="113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33" t="s">
        <v>88</v>
      </c>
      <c r="C54" s="33" t="s">
        <v>50</v>
      </c>
      <c r="D54" s="33" t="s">
        <v>109</v>
      </c>
      <c r="E54" s="33" t="s">
        <v>104</v>
      </c>
      <c r="F54" s="33" t="s">
        <v>110</v>
      </c>
      <c r="G54" s="33" t="s">
        <v>54</v>
      </c>
      <c r="H54" s="33" t="s">
        <v>94</v>
      </c>
      <c r="I54" s="33" t="s">
        <v>63</v>
      </c>
      <c r="J54" s="24">
        <v>3</v>
      </c>
      <c r="K54" s="34"/>
      <c r="L54" s="35"/>
      <c r="M54" s="35"/>
      <c r="N54" s="36">
        <f t="shared" si="8"/>
        <v>0</v>
      </c>
      <c r="O54" s="36"/>
      <c r="P54" s="36"/>
      <c r="Q54" s="36"/>
      <c r="R54" s="36">
        <f t="shared" si="9"/>
        <v>0</v>
      </c>
      <c r="S54" s="37"/>
      <c r="T54" s="38">
        <f t="shared" si="10"/>
        <v>0</v>
      </c>
      <c r="U54" s="29"/>
      <c r="V54" s="38">
        <f t="shared" si="11"/>
        <v>0</v>
      </c>
      <c r="W54" s="35"/>
      <c r="X54" s="3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114" t="s">
        <v>150</v>
      </c>
      <c r="I55" s="33" t="s">
        <v>63</v>
      </c>
      <c r="J55" s="44">
        <v>4</v>
      </c>
      <c r="K55" s="108">
        <v>280000</v>
      </c>
      <c r="L55" s="109">
        <v>0</v>
      </c>
      <c r="M55" s="109">
        <v>49950</v>
      </c>
      <c r="N55" s="36">
        <f t="shared" si="8"/>
        <v>230050</v>
      </c>
      <c r="O55" s="36"/>
      <c r="P55" s="36"/>
      <c r="Q55" s="36"/>
      <c r="R55" s="36">
        <f t="shared" si="9"/>
        <v>230050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35">
        <v>0</v>
      </c>
      <c r="X55" s="3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33" t="s">
        <v>88</v>
      </c>
      <c r="C56" s="33" t="s">
        <v>50</v>
      </c>
      <c r="D56" s="114" t="s">
        <v>109</v>
      </c>
      <c r="E56" s="33" t="s">
        <v>104</v>
      </c>
      <c r="F56" s="33" t="s">
        <v>110</v>
      </c>
      <c r="G56" s="33" t="s">
        <v>54</v>
      </c>
      <c r="H56" s="114" t="s">
        <v>150</v>
      </c>
      <c r="I56" s="33" t="s">
        <v>63</v>
      </c>
      <c r="J56" s="44">
        <v>4</v>
      </c>
      <c r="K56" s="108">
        <v>0</v>
      </c>
      <c r="L56" s="109">
        <v>49950</v>
      </c>
      <c r="M56" s="109">
        <v>0</v>
      </c>
      <c r="N56" s="36">
        <f t="shared" si="8"/>
        <v>49950</v>
      </c>
      <c r="O56" s="36"/>
      <c r="P56" s="36"/>
      <c r="Q56" s="36"/>
      <c r="R56" s="36">
        <f t="shared" si="9"/>
        <v>49950</v>
      </c>
      <c r="S56" s="110">
        <v>49950</v>
      </c>
      <c r="T56" s="38">
        <f t="shared" si="10"/>
        <v>1</v>
      </c>
      <c r="U56" s="113">
        <v>0</v>
      </c>
      <c r="V56" s="38">
        <f t="shared" si="11"/>
        <v>0</v>
      </c>
      <c r="W56" s="35">
        <v>0</v>
      </c>
      <c r="X56" s="38">
        <f t="shared" si="12"/>
        <v>0</v>
      </c>
      <c r="Y56" s="5"/>
      <c r="Z56" s="5"/>
      <c r="AA56" s="5"/>
    </row>
    <row r="57" spans="1:27" ht="54" customHeight="1">
      <c r="A57" s="22" t="s">
        <v>87</v>
      </c>
      <c r="B57" s="33" t="s">
        <v>88</v>
      </c>
      <c r="C57" s="33" t="s">
        <v>50</v>
      </c>
      <c r="D57" s="33" t="s">
        <v>61</v>
      </c>
      <c r="E57" s="33" t="s">
        <v>104</v>
      </c>
      <c r="F57" s="33" t="s">
        <v>62</v>
      </c>
      <c r="G57" s="33" t="s">
        <v>54</v>
      </c>
      <c r="H57" s="114" t="s">
        <v>154</v>
      </c>
      <c r="I57" s="33" t="s">
        <v>63</v>
      </c>
      <c r="J57" s="24">
        <v>3</v>
      </c>
      <c r="K57" s="108">
        <v>400000</v>
      </c>
      <c r="L57" s="109">
        <v>0</v>
      </c>
      <c r="M57" s="109">
        <v>0</v>
      </c>
      <c r="N57" s="36">
        <f t="shared" si="8"/>
        <v>400000</v>
      </c>
      <c r="O57" s="36"/>
      <c r="P57" s="36"/>
      <c r="Q57" s="36"/>
      <c r="R57" s="36">
        <f t="shared" si="9"/>
        <v>400000</v>
      </c>
      <c r="S57" s="110">
        <v>36049.5</v>
      </c>
      <c r="T57" s="38">
        <f t="shared" si="10"/>
        <v>9.0123750000000002E-2</v>
      </c>
      <c r="U57" s="115">
        <v>0</v>
      </c>
      <c r="V57" s="38">
        <f t="shared" si="11"/>
        <v>0</v>
      </c>
      <c r="W57" s="35">
        <v>0</v>
      </c>
      <c r="X57" s="38">
        <f t="shared" si="12"/>
        <v>0</v>
      </c>
      <c r="Y57" s="5"/>
      <c r="Z57" s="5"/>
      <c r="AA57" s="5"/>
    </row>
    <row r="58" spans="1:27" ht="54" customHeight="1">
      <c r="A58" s="22" t="s">
        <v>87</v>
      </c>
      <c r="B58" s="23" t="s">
        <v>88</v>
      </c>
      <c r="C58" s="23" t="s">
        <v>50</v>
      </c>
      <c r="D58" s="23" t="s">
        <v>64</v>
      </c>
      <c r="E58" s="33" t="s">
        <v>104</v>
      </c>
      <c r="F58" s="33" t="s">
        <v>66</v>
      </c>
      <c r="G58" s="23" t="s">
        <v>54</v>
      </c>
      <c r="H58" s="104" t="s">
        <v>150</v>
      </c>
      <c r="I58" s="23" t="s">
        <v>63</v>
      </c>
      <c r="J58" s="24">
        <v>3</v>
      </c>
      <c r="K58" s="108">
        <v>20000</v>
      </c>
      <c r="L58" s="105">
        <v>0</v>
      </c>
      <c r="M58" s="105">
        <v>0</v>
      </c>
      <c r="N58" s="26">
        <f t="shared" si="8"/>
        <v>20000</v>
      </c>
      <c r="O58" s="26"/>
      <c r="P58" s="26"/>
      <c r="Q58" s="26"/>
      <c r="R58" s="26">
        <f t="shared" si="9"/>
        <v>20000</v>
      </c>
      <c r="S58" s="110">
        <v>0</v>
      </c>
      <c r="T58" s="28">
        <f t="shared" si="10"/>
        <v>0</v>
      </c>
      <c r="U58" s="106">
        <v>0</v>
      </c>
      <c r="V58" s="28">
        <f t="shared" si="11"/>
        <v>0</v>
      </c>
      <c r="W58" s="25">
        <v>0</v>
      </c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64</v>
      </c>
      <c r="E59" s="33" t="s">
        <v>104</v>
      </c>
      <c r="F59" s="33" t="s">
        <v>66</v>
      </c>
      <c r="G59" s="23" t="s">
        <v>54</v>
      </c>
      <c r="H59" s="23" t="s">
        <v>94</v>
      </c>
      <c r="I59" s="23" t="s">
        <v>63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7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54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104</v>
      </c>
      <c r="F60" s="33" t="s">
        <v>114</v>
      </c>
      <c r="G60" s="23" t="s">
        <v>54</v>
      </c>
      <c r="H60" s="104" t="s">
        <v>150</v>
      </c>
      <c r="I60" s="23" t="s">
        <v>63</v>
      </c>
      <c r="J60" s="24">
        <v>3</v>
      </c>
      <c r="K60" s="34">
        <f>38480000-K61</f>
        <v>37980000</v>
      </c>
      <c r="L60" s="105">
        <v>0</v>
      </c>
      <c r="M60" s="105">
        <v>0</v>
      </c>
      <c r="N60" s="26">
        <f t="shared" si="8"/>
        <v>37980000</v>
      </c>
      <c r="O60" s="26"/>
      <c r="P60" s="26"/>
      <c r="Q60" s="26"/>
      <c r="R60" s="26">
        <f t="shared" si="9"/>
        <v>37980000</v>
      </c>
      <c r="S60" s="25">
        <f>15179155.73-S61</f>
        <v>15118526.33</v>
      </c>
      <c r="T60" s="28">
        <f t="shared" si="10"/>
        <v>0.39806546419167982</v>
      </c>
      <c r="U60" s="106">
        <v>564055.87</v>
      </c>
      <c r="V60" s="28">
        <f t="shared" si="11"/>
        <v>1.485139204844655E-2</v>
      </c>
      <c r="W60" s="105">
        <v>562031.35999999999</v>
      </c>
      <c r="X60" s="28">
        <f t="shared" si="12"/>
        <v>1.4798087414428646E-2</v>
      </c>
      <c r="Y60" s="5"/>
      <c r="Z60" s="5"/>
      <c r="AA60" s="5"/>
    </row>
    <row r="61" spans="1:27" ht="54" customHeight="1">
      <c r="A61" s="22" t="s">
        <v>87</v>
      </c>
      <c r="B61" s="23" t="s">
        <v>88</v>
      </c>
      <c r="C61" s="23" t="s">
        <v>50</v>
      </c>
      <c r="D61" s="23" t="s">
        <v>113</v>
      </c>
      <c r="E61" s="33" t="s">
        <v>104</v>
      </c>
      <c r="F61" s="33" t="s">
        <v>114</v>
      </c>
      <c r="G61" s="23" t="s">
        <v>54</v>
      </c>
      <c r="H61" s="104" t="s">
        <v>150</v>
      </c>
      <c r="I61" s="23" t="s">
        <v>63</v>
      </c>
      <c r="J61" s="44">
        <v>4</v>
      </c>
      <c r="K61" s="108">
        <v>500000</v>
      </c>
      <c r="L61" s="105">
        <v>0</v>
      </c>
      <c r="M61" s="105">
        <v>0</v>
      </c>
      <c r="N61" s="26">
        <f t="shared" si="8"/>
        <v>500000</v>
      </c>
      <c r="O61" s="26"/>
      <c r="P61" s="26"/>
      <c r="Q61" s="26"/>
      <c r="R61" s="26">
        <f t="shared" si="9"/>
        <v>500000</v>
      </c>
      <c r="S61" s="25">
        <f>42029.4+18600</f>
        <v>60629.4</v>
      </c>
      <c r="T61" s="28">
        <f t="shared" si="10"/>
        <v>0.1212588</v>
      </c>
      <c r="U61" s="46"/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54" hidden="1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94</v>
      </c>
      <c r="I62" s="23" t="s">
        <v>63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54" hidden="1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94</v>
      </c>
      <c r="I63" s="23" t="s">
        <v>63</v>
      </c>
      <c r="J63" s="44">
        <v>4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46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63" hidden="1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65</v>
      </c>
      <c r="F64" s="33" t="s">
        <v>114</v>
      </c>
      <c r="G64" s="23" t="s">
        <v>54</v>
      </c>
      <c r="H64" s="23" t="s">
        <v>115</v>
      </c>
      <c r="I64" s="23" t="s">
        <v>56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50</v>
      </c>
      <c r="D65" s="23" t="s">
        <v>116</v>
      </c>
      <c r="E65" s="33" t="s">
        <v>65</v>
      </c>
      <c r="F65" s="23" t="s">
        <v>117</v>
      </c>
      <c r="G65" s="23" t="s">
        <v>54</v>
      </c>
      <c r="H65" s="104" t="s">
        <v>150</v>
      </c>
      <c r="I65" s="23" t="s">
        <v>56</v>
      </c>
      <c r="J65" s="24">
        <v>3</v>
      </c>
      <c r="K65" s="108">
        <v>600000</v>
      </c>
      <c r="L65" s="105">
        <v>0</v>
      </c>
      <c r="M65" s="105">
        <v>0</v>
      </c>
      <c r="N65" s="26">
        <f t="shared" si="8"/>
        <v>600000</v>
      </c>
      <c r="O65" s="26"/>
      <c r="P65" s="26"/>
      <c r="Q65" s="26"/>
      <c r="R65" s="26">
        <f t="shared" si="9"/>
        <v>600000</v>
      </c>
      <c r="S65" s="109">
        <v>1767.45</v>
      </c>
      <c r="T65" s="28">
        <f t="shared" si="10"/>
        <v>2.94575E-3</v>
      </c>
      <c r="U65" s="106">
        <v>1767.45</v>
      </c>
      <c r="V65" s="28">
        <f t="shared" si="11"/>
        <v>2.94575E-3</v>
      </c>
      <c r="W65" s="105">
        <v>1767.45</v>
      </c>
      <c r="X65" s="28">
        <f t="shared" si="12"/>
        <v>2.94575E-3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50</v>
      </c>
      <c r="D66" s="23" t="s">
        <v>71</v>
      </c>
      <c r="E66" s="33" t="s">
        <v>65</v>
      </c>
      <c r="F66" s="23" t="s">
        <v>72</v>
      </c>
      <c r="G66" s="23" t="s">
        <v>54</v>
      </c>
      <c r="H66" s="104" t="s">
        <v>150</v>
      </c>
      <c r="I66" s="23" t="s">
        <v>56</v>
      </c>
      <c r="J66" s="24">
        <v>3</v>
      </c>
      <c r="K66" s="108">
        <v>15000</v>
      </c>
      <c r="L66" s="105">
        <v>0</v>
      </c>
      <c r="M66" s="10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109">
        <v>0</v>
      </c>
      <c r="T66" s="28">
        <f t="shared" si="10"/>
        <v>0</v>
      </c>
      <c r="U66" s="111">
        <v>0</v>
      </c>
      <c r="V66" s="28">
        <f t="shared" si="11"/>
        <v>0</v>
      </c>
      <c r="W66" s="25">
        <v>0</v>
      </c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50</v>
      </c>
      <c r="D67" s="23" t="s">
        <v>71</v>
      </c>
      <c r="E67" s="33" t="s">
        <v>65</v>
      </c>
      <c r="F67" s="23" t="s">
        <v>72</v>
      </c>
      <c r="G67" s="23" t="s">
        <v>54</v>
      </c>
      <c r="H67" s="23" t="s">
        <v>94</v>
      </c>
      <c r="I67" s="23" t="s">
        <v>56</v>
      </c>
      <c r="J67" s="24">
        <v>3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29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119</v>
      </c>
      <c r="E68" s="33" t="s">
        <v>65</v>
      </c>
      <c r="F68" s="23" t="s">
        <v>120</v>
      </c>
      <c r="G68" s="23" t="s">
        <v>54</v>
      </c>
      <c r="H68" s="104" t="s">
        <v>150</v>
      </c>
      <c r="I68" s="23" t="s">
        <v>56</v>
      </c>
      <c r="J68" s="24">
        <v>3</v>
      </c>
      <c r="K68" s="34">
        <f>21000000-K69</f>
        <v>20000000</v>
      </c>
      <c r="L68" s="105">
        <v>0</v>
      </c>
      <c r="M68" s="105">
        <v>0</v>
      </c>
      <c r="N68" s="26">
        <f t="shared" si="8"/>
        <v>20000000</v>
      </c>
      <c r="O68" s="26"/>
      <c r="P68" s="26"/>
      <c r="Q68" s="26"/>
      <c r="R68" s="26">
        <f t="shared" si="9"/>
        <v>20000000</v>
      </c>
      <c r="S68" s="35">
        <f>10394860.24</f>
        <v>10394860.24</v>
      </c>
      <c r="T68" s="28">
        <f t="shared" si="10"/>
        <v>0.51974301200000006</v>
      </c>
      <c r="U68" s="106">
        <v>59299.040000000001</v>
      </c>
      <c r="V68" s="28">
        <f t="shared" si="11"/>
        <v>2.9649519999999999E-3</v>
      </c>
      <c r="W68" s="105">
        <v>59299.040000000001</v>
      </c>
      <c r="X68" s="28">
        <f t="shared" si="12"/>
        <v>2.9649519999999999E-3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119</v>
      </c>
      <c r="E69" s="33" t="s">
        <v>65</v>
      </c>
      <c r="F69" s="23" t="s">
        <v>120</v>
      </c>
      <c r="G69" s="23" t="s">
        <v>54</v>
      </c>
      <c r="H69" s="104" t="s">
        <v>150</v>
      </c>
      <c r="I69" s="23" t="s">
        <v>56</v>
      </c>
      <c r="J69" s="44">
        <v>4</v>
      </c>
      <c r="K69" s="108">
        <v>1000000</v>
      </c>
      <c r="L69" s="105">
        <v>526000</v>
      </c>
      <c r="M69" s="105">
        <v>526000</v>
      </c>
      <c r="N69" s="26">
        <f t="shared" si="8"/>
        <v>1000000</v>
      </c>
      <c r="O69" s="26"/>
      <c r="P69" s="26"/>
      <c r="Q69" s="26"/>
      <c r="R69" s="26">
        <f t="shared" si="9"/>
        <v>1000000</v>
      </c>
      <c r="S69" s="109">
        <v>0</v>
      </c>
      <c r="T69" s="28">
        <f t="shared" si="10"/>
        <v>0</v>
      </c>
      <c r="U69" s="113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119</v>
      </c>
      <c r="E70" s="33" t="s">
        <v>65</v>
      </c>
      <c r="F70" s="23" t="s">
        <v>120</v>
      </c>
      <c r="G70" s="23" t="s">
        <v>54</v>
      </c>
      <c r="H70" s="23" t="s">
        <v>94</v>
      </c>
      <c r="I70" s="23" t="s">
        <v>56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hidden="1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94</v>
      </c>
      <c r="I71" s="23" t="s">
        <v>56</v>
      </c>
      <c r="J71" s="44">
        <v>4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46"/>
      <c r="V71" s="28">
        <f t="shared" si="11"/>
        <v>0</v>
      </c>
      <c r="W71" s="25"/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118</v>
      </c>
      <c r="D72" s="23" t="s">
        <v>121</v>
      </c>
      <c r="E72" s="33" t="s">
        <v>65</v>
      </c>
      <c r="F72" s="23" t="s">
        <v>122</v>
      </c>
      <c r="G72" s="23" t="s">
        <v>54</v>
      </c>
      <c r="H72" s="104" t="s">
        <v>150</v>
      </c>
      <c r="I72" s="23" t="s">
        <v>56</v>
      </c>
      <c r="J72" s="24">
        <v>3</v>
      </c>
      <c r="K72" s="34">
        <f>8700000-K73</f>
        <v>8000000</v>
      </c>
      <c r="L72" s="105">
        <v>0</v>
      </c>
      <c r="M72" s="105">
        <v>0</v>
      </c>
      <c r="N72" s="26">
        <f t="shared" si="8"/>
        <v>8000000</v>
      </c>
      <c r="O72" s="26"/>
      <c r="P72" s="26"/>
      <c r="Q72" s="26"/>
      <c r="R72" s="26">
        <f t="shared" si="9"/>
        <v>8000000</v>
      </c>
      <c r="S72" s="35">
        <f>5791258.91</f>
        <v>5791258.9100000001</v>
      </c>
      <c r="T72" s="28">
        <f t="shared" si="10"/>
        <v>0.72390736374999998</v>
      </c>
      <c r="U72" s="106">
        <v>0</v>
      </c>
      <c r="V72" s="28">
        <f t="shared" si="11"/>
        <v>0</v>
      </c>
      <c r="W72" s="25">
        <v>0</v>
      </c>
      <c r="X72" s="28">
        <f t="shared" si="12"/>
        <v>0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121</v>
      </c>
      <c r="E73" s="33" t="s">
        <v>65</v>
      </c>
      <c r="F73" s="23" t="s">
        <v>122</v>
      </c>
      <c r="G73" s="23" t="s">
        <v>54</v>
      </c>
      <c r="H73" s="104" t="s">
        <v>150</v>
      </c>
      <c r="I73" s="23" t="s">
        <v>56</v>
      </c>
      <c r="J73" s="44">
        <v>4</v>
      </c>
      <c r="K73" s="34">
        <f>200000+500000</f>
        <v>700000</v>
      </c>
      <c r="L73" s="105">
        <v>0</v>
      </c>
      <c r="M73" s="105">
        <v>0</v>
      </c>
      <c r="N73" s="26">
        <f t="shared" si="8"/>
        <v>700000</v>
      </c>
      <c r="O73" s="26"/>
      <c r="P73" s="26"/>
      <c r="Q73" s="26"/>
      <c r="R73" s="26">
        <f t="shared" si="9"/>
        <v>700000</v>
      </c>
      <c r="S73" s="109">
        <v>0</v>
      </c>
      <c r="T73" s="28">
        <f t="shared" si="10"/>
        <v>0</v>
      </c>
      <c r="U73" s="113">
        <v>0</v>
      </c>
      <c r="V73" s="28">
        <f t="shared" si="11"/>
        <v>0</v>
      </c>
      <c r="W73" s="25">
        <v>0</v>
      </c>
      <c r="X73" s="28">
        <f t="shared" si="12"/>
        <v>0</v>
      </c>
      <c r="Y73" s="5"/>
      <c r="Z73" s="5"/>
      <c r="AA73" s="5"/>
    </row>
    <row r="74" spans="1:27" ht="63" hidden="1" customHeight="1">
      <c r="A74" s="22" t="s">
        <v>87</v>
      </c>
      <c r="B74" s="23" t="s">
        <v>88</v>
      </c>
      <c r="C74" s="23" t="s">
        <v>118</v>
      </c>
      <c r="D74" s="23" t="s">
        <v>121</v>
      </c>
      <c r="E74" s="33" t="s">
        <v>65</v>
      </c>
      <c r="F74" s="23" t="s">
        <v>122</v>
      </c>
      <c r="G74" s="23" t="s">
        <v>54</v>
      </c>
      <c r="H74" s="23" t="s">
        <v>94</v>
      </c>
      <c r="I74" s="23" t="s">
        <v>56</v>
      </c>
      <c r="J74" s="44">
        <v>4</v>
      </c>
      <c r="K74" s="34"/>
      <c r="L74" s="25"/>
      <c r="M74" s="25"/>
      <c r="N74" s="26">
        <f t="shared" si="8"/>
        <v>0</v>
      </c>
      <c r="O74" s="26"/>
      <c r="P74" s="26"/>
      <c r="Q74" s="26"/>
      <c r="R74" s="26">
        <f t="shared" si="9"/>
        <v>0</v>
      </c>
      <c r="S74" s="35"/>
      <c r="T74" s="28">
        <f t="shared" si="10"/>
        <v>0</v>
      </c>
      <c r="U74" s="46"/>
      <c r="V74" s="28">
        <f t="shared" si="11"/>
        <v>0</v>
      </c>
      <c r="W74" s="25"/>
      <c r="X74" s="28">
        <f t="shared" si="12"/>
        <v>0</v>
      </c>
      <c r="Y74" s="5"/>
      <c r="Z74" s="5"/>
      <c r="AA74" s="5"/>
    </row>
    <row r="75" spans="1:27" ht="63" customHeight="1">
      <c r="A75" s="22" t="s">
        <v>87</v>
      </c>
      <c r="B75" s="23" t="s">
        <v>88</v>
      </c>
      <c r="C75" s="23" t="s">
        <v>76</v>
      </c>
      <c r="D75" s="23" t="s">
        <v>77</v>
      </c>
      <c r="E75" s="33" t="s">
        <v>65</v>
      </c>
      <c r="F75" s="23" t="s">
        <v>123</v>
      </c>
      <c r="G75" s="23" t="s">
        <v>54</v>
      </c>
      <c r="H75" s="104" t="s">
        <v>154</v>
      </c>
      <c r="I75" s="23" t="s">
        <v>56</v>
      </c>
      <c r="J75" s="24">
        <v>3</v>
      </c>
      <c r="K75" s="108">
        <v>998000</v>
      </c>
      <c r="L75" s="105">
        <v>396000</v>
      </c>
      <c r="M75" s="105">
        <v>396000</v>
      </c>
      <c r="N75" s="26">
        <f t="shared" si="8"/>
        <v>998000</v>
      </c>
      <c r="O75" s="26"/>
      <c r="P75" s="26"/>
      <c r="Q75" s="26"/>
      <c r="R75" s="26">
        <f t="shared" si="9"/>
        <v>998000</v>
      </c>
      <c r="S75" s="109">
        <v>434300</v>
      </c>
      <c r="T75" s="28">
        <f t="shared" si="10"/>
        <v>0.43517034068136273</v>
      </c>
      <c r="U75" s="106">
        <v>0</v>
      </c>
      <c r="V75" s="28">
        <f t="shared" si="11"/>
        <v>0</v>
      </c>
      <c r="W75" s="25">
        <v>0</v>
      </c>
      <c r="X75" s="28">
        <f t="shared" si="12"/>
        <v>0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76</v>
      </c>
      <c r="D76" s="23" t="s">
        <v>77</v>
      </c>
      <c r="E76" s="33" t="s">
        <v>65</v>
      </c>
      <c r="F76" s="23" t="s">
        <v>123</v>
      </c>
      <c r="G76" s="23" t="s">
        <v>54</v>
      </c>
      <c r="H76" s="23" t="s">
        <v>112</v>
      </c>
      <c r="I76" s="23" t="s">
        <v>56</v>
      </c>
      <c r="J76" s="24">
        <v>3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29"/>
      <c r="V76" s="28">
        <f t="shared" si="11"/>
        <v>0</v>
      </c>
      <c r="W76" s="25">
        <v>0</v>
      </c>
      <c r="X76" s="28">
        <f t="shared" si="12"/>
        <v>0</v>
      </c>
      <c r="Y76" s="5"/>
      <c r="Z76" s="5"/>
      <c r="AA76" s="5"/>
    </row>
    <row r="77" spans="1:27" ht="15.75" customHeight="1">
      <c r="A77" s="156" t="s">
        <v>124</v>
      </c>
      <c r="B77" s="142"/>
      <c r="C77" s="142"/>
      <c r="D77" s="142"/>
      <c r="E77" s="142"/>
      <c r="F77" s="142"/>
      <c r="G77" s="142"/>
      <c r="H77" s="142"/>
      <c r="I77" s="142"/>
      <c r="J77" s="143"/>
      <c r="K77" s="39">
        <f t="shared" ref="K77:S77" si="13">SUM(K34:K76)</f>
        <v>151078000</v>
      </c>
      <c r="L77" s="39">
        <f t="shared" si="13"/>
        <v>11471227.08</v>
      </c>
      <c r="M77" s="39">
        <f t="shared" si="13"/>
        <v>11471227.08</v>
      </c>
      <c r="N77" s="39">
        <f t="shared" si="13"/>
        <v>151078000</v>
      </c>
      <c r="O77" s="39">
        <f t="shared" si="13"/>
        <v>0</v>
      </c>
      <c r="P77" s="39">
        <f t="shared" si="13"/>
        <v>0</v>
      </c>
      <c r="Q77" s="39">
        <f t="shared" si="13"/>
        <v>0</v>
      </c>
      <c r="R77" s="39">
        <f t="shared" si="13"/>
        <v>151078000</v>
      </c>
      <c r="S77" s="39">
        <f t="shared" si="13"/>
        <v>57170147.930000007</v>
      </c>
      <c r="T77" s="40">
        <f t="shared" si="10"/>
        <v>0.37841477865738232</v>
      </c>
      <c r="U77" s="39">
        <f>SUM(U34:U76)</f>
        <v>1962667.4000000001</v>
      </c>
      <c r="V77" s="40">
        <f t="shared" si="11"/>
        <v>1.2991086723414397E-2</v>
      </c>
      <c r="W77" s="39">
        <f>SUM(W34:W76)</f>
        <v>1924762.97</v>
      </c>
      <c r="X77" s="40">
        <f t="shared" si="12"/>
        <v>1.274019360859953E-2</v>
      </c>
      <c r="Y77" s="5"/>
      <c r="Z77" s="5"/>
      <c r="AA77" s="5"/>
    </row>
    <row r="78" spans="1:27" ht="15.75" customHeight="1">
      <c r="A78" s="157" t="s">
        <v>125</v>
      </c>
      <c r="B78" s="142"/>
      <c r="C78" s="142"/>
      <c r="D78" s="142"/>
      <c r="E78" s="142"/>
      <c r="F78" s="142"/>
      <c r="G78" s="142"/>
      <c r="H78" s="142"/>
      <c r="I78" s="142"/>
      <c r="J78" s="143"/>
      <c r="K78" s="57">
        <f t="shared" ref="K78:S78" si="14">SUM(K31+K77)</f>
        <v>1094864000</v>
      </c>
      <c r="L78" s="57">
        <f t="shared" si="14"/>
        <v>17907227.079999998</v>
      </c>
      <c r="M78" s="57">
        <f t="shared" si="14"/>
        <v>17907227.079999998</v>
      </c>
      <c r="N78" s="57">
        <f t="shared" si="14"/>
        <v>1094864000</v>
      </c>
      <c r="O78" s="57">
        <f t="shared" si="14"/>
        <v>0</v>
      </c>
      <c r="P78" s="57">
        <f t="shared" si="14"/>
        <v>0</v>
      </c>
      <c r="Q78" s="57">
        <f t="shared" si="14"/>
        <v>0</v>
      </c>
      <c r="R78" s="57">
        <f t="shared" si="14"/>
        <v>1094864000</v>
      </c>
      <c r="S78" s="57">
        <f t="shared" si="14"/>
        <v>130930296.77000001</v>
      </c>
      <c r="T78" s="58">
        <f t="shared" si="10"/>
        <v>0.11958589995652429</v>
      </c>
      <c r="U78" s="57">
        <f>SUM(U31+U77)</f>
        <v>75612635.25</v>
      </c>
      <c r="V78" s="58">
        <f t="shared" si="11"/>
        <v>6.906121239715618E-2</v>
      </c>
      <c r="W78" s="57">
        <f>SUM(W31+W77)</f>
        <v>74155797.840000004</v>
      </c>
      <c r="X78" s="58">
        <f t="shared" si="12"/>
        <v>6.7730602010843355E-2</v>
      </c>
      <c r="Y78" s="30"/>
      <c r="Z78" s="5"/>
      <c r="AA78" s="5"/>
    </row>
    <row r="79" spans="1:27" ht="14.25" customHeight="1">
      <c r="A79" s="59" t="s">
        <v>126</v>
      </c>
      <c r="B79" s="60"/>
      <c r="C79" s="60"/>
      <c r="D79" s="60"/>
      <c r="E79" s="60"/>
      <c r="F79" s="60"/>
      <c r="G79" s="60"/>
      <c r="H79" s="61"/>
      <c r="I79" s="61"/>
      <c r="J79" s="61"/>
      <c r="K79" s="60"/>
      <c r="L79" s="60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5"/>
      <c r="AA79" s="5"/>
    </row>
    <row r="80" spans="1:27" ht="14.25" customHeight="1">
      <c r="A80" s="59" t="s">
        <v>127</v>
      </c>
      <c r="B80" s="64"/>
      <c r="C80" s="60"/>
      <c r="D80" s="60"/>
      <c r="E80" s="60"/>
      <c r="F80" s="60"/>
      <c r="G80" s="60"/>
      <c r="H80" s="61"/>
      <c r="I80" s="61"/>
      <c r="J80" s="61"/>
      <c r="K80" s="60"/>
      <c r="L80" s="60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5"/>
      <c r="Z80" s="5"/>
      <c r="AA80" s="5"/>
    </row>
    <row r="81" spans="1:27" ht="14.25" customHeight="1">
      <c r="A81" s="158" t="s">
        <v>128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5"/>
      <c r="Z81" s="5"/>
      <c r="AA81" s="5"/>
    </row>
    <row r="82" spans="1:27" ht="14.25" customHeight="1">
      <c r="A82" s="6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3"/>
      <c r="O82" s="63"/>
      <c r="P82" s="63"/>
      <c r="Q82" s="5"/>
      <c r="R82" s="5"/>
      <c r="S82" s="5"/>
      <c r="T82" s="5"/>
      <c r="U82" s="5"/>
      <c r="V82" s="5"/>
      <c r="W82" s="5"/>
      <c r="X82" s="66"/>
      <c r="Y82" s="5"/>
      <c r="Z82" s="5"/>
      <c r="AA82" s="5"/>
    </row>
    <row r="83" spans="1:27" ht="14.25" customHeight="1">
      <c r="A83" s="159"/>
      <c r="B83" s="145"/>
      <c r="C83" s="145"/>
      <c r="D83" s="145"/>
      <c r="E83" s="145"/>
      <c r="F83" s="145"/>
      <c r="G83" s="145"/>
      <c r="H83" s="146"/>
      <c r="I83" s="5"/>
      <c r="J83" s="5"/>
      <c r="K83" s="5"/>
      <c r="L83" s="5"/>
      <c r="M83" s="5"/>
      <c r="N83" s="63"/>
      <c r="O83" s="63"/>
      <c r="P83" s="63"/>
      <c r="Q83" s="5"/>
      <c r="R83" s="5"/>
      <c r="S83" s="5"/>
      <c r="T83" s="5"/>
      <c r="U83" s="5"/>
      <c r="V83" s="5"/>
      <c r="W83" s="5"/>
      <c r="X83" s="66"/>
      <c r="Y83" s="5"/>
      <c r="Z83" s="5"/>
      <c r="AA83" s="5"/>
    </row>
    <row r="84" spans="1:27" ht="14.25" customHeight="1">
      <c r="A84" s="160"/>
      <c r="B84" s="148"/>
      <c r="C84" s="148"/>
      <c r="D84" s="148"/>
      <c r="E84" s="148"/>
      <c r="F84" s="148"/>
      <c r="G84" s="148"/>
      <c r="H84" s="161"/>
      <c r="I84" s="3"/>
      <c r="J84" s="3"/>
      <c r="K84" s="67"/>
      <c r="L84" s="67"/>
      <c r="M84" s="67"/>
      <c r="N84" s="67"/>
      <c r="O84" s="67"/>
      <c r="P84" s="67"/>
      <c r="Q84" s="5"/>
      <c r="R84" s="5"/>
      <c r="S84" s="5"/>
      <c r="T84" s="5"/>
      <c r="U84" s="5"/>
      <c r="V84" s="5"/>
      <c r="W84" s="5"/>
      <c r="X84" s="66"/>
      <c r="Y84" s="30"/>
      <c r="Z84" s="5"/>
      <c r="AA84" s="5"/>
    </row>
    <row r="85" spans="1:27" ht="14.25" customHeight="1">
      <c r="A85" s="162"/>
      <c r="B85" s="163"/>
      <c r="C85" s="163"/>
      <c r="D85" s="163"/>
      <c r="E85" s="163"/>
      <c r="F85" s="163"/>
      <c r="G85" s="163"/>
      <c r="H85" s="164"/>
      <c r="I85" s="3"/>
      <c r="J85" s="3"/>
      <c r="K85" s="67"/>
      <c r="L85" s="67"/>
      <c r="M85" s="67"/>
      <c r="N85" s="67"/>
      <c r="O85" s="67"/>
      <c r="P85" s="67"/>
      <c r="Q85" s="5"/>
      <c r="R85" s="5"/>
      <c r="S85" s="5"/>
      <c r="T85" s="5"/>
      <c r="U85" s="68"/>
      <c r="V85" s="5"/>
      <c r="W85" s="5"/>
      <c r="X85" s="66"/>
      <c r="Y85" s="30"/>
      <c r="Z85" s="5"/>
      <c r="AA85" s="5"/>
    </row>
    <row r="86" spans="1:27" ht="14.25" customHeight="1">
      <c r="A86" s="69"/>
      <c r="B86" s="69"/>
      <c r="C86" s="69"/>
      <c r="D86" s="63"/>
      <c r="E86" s="63"/>
      <c r="F86" s="63"/>
      <c r="G86" s="63"/>
      <c r="H86" s="3"/>
      <c r="I86" s="3"/>
      <c r="J86" s="3"/>
      <c r="K86" s="67"/>
      <c r="L86" s="67"/>
      <c r="M86" s="67"/>
      <c r="N86" s="67"/>
      <c r="O86" s="67"/>
      <c r="P86" s="67"/>
      <c r="Q86" s="5"/>
      <c r="R86" s="5"/>
      <c r="S86" s="5"/>
      <c r="T86" s="5"/>
      <c r="U86" s="68"/>
      <c r="V86" s="5"/>
      <c r="W86" s="5"/>
      <c r="X86" s="66"/>
      <c r="Y86" s="30"/>
      <c r="Z86" s="5"/>
      <c r="AA86" s="5"/>
    </row>
    <row r="87" spans="1:27" ht="14.25" customHeight="1">
      <c r="A87" s="69"/>
      <c r="B87" s="69"/>
      <c r="C87" s="69"/>
      <c r="D87" s="63"/>
      <c r="E87" s="63"/>
      <c r="F87" s="63"/>
      <c r="G87" s="63"/>
      <c r="H87" s="3"/>
      <c r="I87" s="3"/>
      <c r="J87" s="3"/>
      <c r="K87" s="67"/>
      <c r="L87" s="67"/>
      <c r="M87" s="67"/>
      <c r="N87" s="67"/>
      <c r="O87" s="67"/>
      <c r="P87" s="67"/>
      <c r="Q87" s="5"/>
      <c r="R87" s="5"/>
      <c r="S87" s="5"/>
      <c r="T87" s="5"/>
      <c r="U87" s="68"/>
      <c r="V87" s="5"/>
      <c r="W87" s="5"/>
      <c r="X87" s="66"/>
      <c r="Y87" s="30"/>
      <c r="Z87" s="5"/>
      <c r="AA87" s="5"/>
    </row>
    <row r="88" spans="1:27" ht="14.25" customHeight="1">
      <c r="A88" s="70"/>
      <c r="B88" s="70"/>
      <c r="C88" s="70"/>
      <c r="D88" s="70"/>
      <c r="E88" s="70"/>
      <c r="F88" s="70"/>
      <c r="G88" s="63"/>
      <c r="H88" s="3"/>
      <c r="I88" s="3"/>
      <c r="J88" s="3"/>
      <c r="K88" s="67"/>
      <c r="L88" s="63"/>
      <c r="M88" s="63"/>
      <c r="N88" s="63"/>
      <c r="O88" s="63"/>
      <c r="P88" s="63"/>
      <c r="Q88" s="5"/>
      <c r="R88" s="5"/>
      <c r="S88" s="5"/>
      <c r="T88" s="5"/>
      <c r="U88" s="68"/>
      <c r="V88" s="5"/>
      <c r="W88" s="5"/>
      <c r="X88" s="63"/>
      <c r="Y88" s="5"/>
      <c r="Z88" s="5"/>
      <c r="AA88" s="5"/>
    </row>
    <row r="89" spans="1:27" ht="14.25" customHeight="1">
      <c r="A89" s="70"/>
      <c r="B89" s="70"/>
      <c r="C89" s="70"/>
      <c r="D89" s="70"/>
      <c r="E89" s="70"/>
      <c r="F89" s="70"/>
      <c r="G89" s="63"/>
      <c r="H89" s="3"/>
      <c r="I89" s="3"/>
      <c r="J89" s="3"/>
      <c r="K89" s="67"/>
      <c r="L89" s="63"/>
      <c r="M89" s="63"/>
      <c r="N89" s="63"/>
      <c r="O89" s="63"/>
      <c r="P89" s="63"/>
      <c r="Q89" s="5"/>
      <c r="R89" s="5"/>
      <c r="S89" s="5"/>
      <c r="T89" s="5"/>
      <c r="U89" s="5"/>
      <c r="V89" s="5"/>
      <c r="W89" s="5"/>
      <c r="X89" s="63"/>
      <c r="Y89" s="5"/>
      <c r="Z89" s="5"/>
      <c r="AA89" s="5"/>
    </row>
    <row r="90" spans="1:27" ht="15.75" customHeight="1">
      <c r="A90" s="70"/>
      <c r="B90" s="70"/>
      <c r="C90" s="70"/>
      <c r="D90" s="70"/>
      <c r="E90" s="70"/>
      <c r="F90" s="70"/>
      <c r="G90" s="63"/>
      <c r="H90" s="3"/>
      <c r="I90" s="3"/>
      <c r="J90" s="3"/>
      <c r="K90" s="63"/>
      <c r="L90" s="63"/>
      <c r="M90" s="63"/>
      <c r="N90" s="63"/>
      <c r="O90" s="63"/>
      <c r="P90" s="63"/>
      <c r="Q90" s="71" t="s">
        <v>34</v>
      </c>
      <c r="R90" s="71"/>
      <c r="S90" s="72"/>
      <c r="T90" s="71" t="s">
        <v>35</v>
      </c>
      <c r="U90" s="71"/>
      <c r="V90" s="66"/>
      <c r="W90" s="73" t="s">
        <v>129</v>
      </c>
      <c r="X90" s="63"/>
      <c r="Y90" s="5"/>
      <c r="Z90" s="5"/>
      <c r="AA90" s="5"/>
    </row>
    <row r="91" spans="1:27" ht="14.25" customHeight="1">
      <c r="A91" s="70"/>
      <c r="B91" s="70"/>
      <c r="C91" s="70"/>
      <c r="D91" s="70"/>
      <c r="E91" s="70"/>
      <c r="F91" s="70"/>
      <c r="G91" s="63"/>
      <c r="H91" s="3"/>
      <c r="I91" s="3"/>
      <c r="J91" s="3"/>
      <c r="K91" s="74"/>
      <c r="L91" s="74"/>
      <c r="M91" s="74"/>
      <c r="N91" s="74"/>
      <c r="O91" s="74"/>
      <c r="P91" s="74"/>
      <c r="Q91" s="75">
        <v>1</v>
      </c>
      <c r="R91" s="76"/>
      <c r="S91" s="66"/>
      <c r="T91" s="77">
        <v>1</v>
      </c>
      <c r="U91" s="76">
        <f>U17+U18+U20+U21+U22+U25+U26+U28+U29+U30</f>
        <v>63429089.030000001</v>
      </c>
      <c r="V91" s="66"/>
      <c r="W91" s="78">
        <f t="shared" ref="W91:W93" si="15">U91-R91</f>
        <v>63429089.030000001</v>
      </c>
      <c r="X91" s="63"/>
      <c r="Y91" s="68"/>
      <c r="Z91" s="5"/>
      <c r="AA91" s="5"/>
    </row>
    <row r="92" spans="1:27" ht="14.25" customHeight="1">
      <c r="A92" s="1"/>
      <c r="B92" s="79"/>
      <c r="C92" s="79"/>
      <c r="D92" s="79"/>
      <c r="E92" s="1"/>
      <c r="F92" s="1"/>
      <c r="G92" s="1"/>
      <c r="H92" s="2"/>
      <c r="I92" s="2"/>
      <c r="J92" s="3"/>
      <c r="K92" s="80"/>
      <c r="L92" s="80"/>
      <c r="M92" s="80"/>
      <c r="N92" s="80"/>
      <c r="O92" s="80"/>
      <c r="P92" s="80"/>
      <c r="Q92" s="81">
        <v>3</v>
      </c>
      <c r="R92" s="82"/>
      <c r="S92" s="83"/>
      <c r="T92" s="84">
        <v>3</v>
      </c>
      <c r="U92" s="82">
        <f>U15+U16+U19+U23+U24+U27+U35+U37+U41+U47+U49+U50+U51+U54+U57+U58+U59+U60+U62+U64+U65+U66+U67+U68+U70+U72+U75+U76</f>
        <v>12183546.219999997</v>
      </c>
      <c r="V92" s="85"/>
      <c r="W92" s="86">
        <f t="shared" si="15"/>
        <v>12183546.219999997</v>
      </c>
      <c r="X92" s="1"/>
      <c r="Y92" s="68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7">
        <v>4</v>
      </c>
      <c r="R93" s="88"/>
      <c r="S93" s="83"/>
      <c r="T93" s="89">
        <v>4</v>
      </c>
      <c r="U93" s="88">
        <f>U34+U36+U38+U40+U42+U43+U48+U52+U53+U55+U61+U63+U69+U71+U73+U74</f>
        <v>0</v>
      </c>
      <c r="V93" s="90"/>
      <c r="W93" s="91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65" t="s">
        <v>130</v>
      </c>
      <c r="L94" s="166"/>
      <c r="M94" s="166"/>
      <c r="N94" s="167"/>
      <c r="O94" s="5"/>
      <c r="P94" s="5"/>
      <c r="Q94" s="152" t="s">
        <v>131</v>
      </c>
      <c r="R94" s="143"/>
      <c r="S94" s="63"/>
      <c r="T94" s="153" t="s">
        <v>132</v>
      </c>
      <c r="U94" s="143"/>
      <c r="V94" s="90"/>
      <c r="W94" s="85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68" t="s">
        <v>134</v>
      </c>
      <c r="G95" s="148"/>
      <c r="H95" s="148"/>
      <c r="I95" s="148"/>
      <c r="J95" s="5"/>
      <c r="K95" s="92"/>
      <c r="L95" s="92"/>
      <c r="M95" s="92"/>
      <c r="N95" s="92"/>
      <c r="O95" s="5"/>
      <c r="P95" s="5"/>
      <c r="Q95" s="74"/>
      <c r="R95" s="74"/>
      <c r="S95" s="74"/>
      <c r="T95" s="13"/>
      <c r="U95" s="85"/>
      <c r="V95" s="90"/>
      <c r="W95" s="5"/>
      <c r="X95" s="68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2"/>
      <c r="L96" s="92" t="s">
        <v>135</v>
      </c>
      <c r="M96" s="92"/>
      <c r="N96" s="92"/>
      <c r="O96" s="5"/>
      <c r="P96" s="5"/>
      <c r="Q96" s="80"/>
      <c r="R96" s="80"/>
      <c r="S96" s="80"/>
      <c r="T96" s="93" t="s">
        <v>136</v>
      </c>
      <c r="U96" s="94">
        <f>SUM(U91:U93)</f>
        <v>75612635.25</v>
      </c>
      <c r="V96" s="5"/>
      <c r="W96" s="68">
        <f>SUM(W91:W95)</f>
        <v>75612635.25</v>
      </c>
      <c r="X96" s="68"/>
      <c r="Y96" s="68"/>
      <c r="Z96" s="5"/>
      <c r="AA96" s="5"/>
    </row>
    <row r="97" spans="1:27" ht="14.25" customHeight="1">
      <c r="A97" s="5"/>
      <c r="B97" s="5"/>
      <c r="C97" s="5">
        <v>1</v>
      </c>
      <c r="D97" s="30">
        <f>W17+W18+W21+W22+W25+W26+W28+W29+W30</f>
        <v>62010156.049999997</v>
      </c>
      <c r="E97" s="5"/>
      <c r="F97" s="5">
        <v>1</v>
      </c>
      <c r="G97" s="30">
        <f>S17+S18+S21+S22+S25+S26+S28+S29+S30</f>
        <v>63539270.019999996</v>
      </c>
      <c r="H97" s="5"/>
      <c r="I97" s="5"/>
      <c r="J97" s="5"/>
      <c r="K97" s="95" t="s">
        <v>137</v>
      </c>
      <c r="L97" s="95">
        <v>1</v>
      </c>
      <c r="M97" s="96">
        <f>L17+L18+L21+L22+L25+L26+L28+L29+L30</f>
        <v>6436000</v>
      </c>
      <c r="N97" s="97">
        <f>M97-M98+Q78</f>
        <v>0</v>
      </c>
      <c r="O97" s="5"/>
      <c r="P97" s="5"/>
      <c r="Q97" s="5"/>
      <c r="R97" s="98"/>
      <c r="S97" s="5"/>
      <c r="T97" s="5"/>
      <c r="U97" s="5"/>
      <c r="V97" s="5"/>
      <c r="W97" s="5"/>
      <c r="X97" s="68"/>
      <c r="Y97" s="5"/>
      <c r="Z97" s="5"/>
      <c r="AA97" s="5"/>
    </row>
    <row r="98" spans="1:27" ht="14.25" customHeight="1">
      <c r="A98" s="5"/>
      <c r="B98" s="5"/>
      <c r="C98" s="5">
        <v>3</v>
      </c>
      <c r="D98" s="30">
        <f>W15+W16+W19+W23+W24+W27+W35+W37+W41+W47+W49+W50+W51+W54+W57+W58+W59+W60+W62+W64+W65+W66+W67+W68+W70+W72+W75+W76</f>
        <v>12145641.789999999</v>
      </c>
      <c r="E98" s="5"/>
      <c r="F98" s="5">
        <v>3</v>
      </c>
      <c r="G98" s="30">
        <f>S15+S16+S19+S23+S24+S27+S35+S37+S41+S47+S49+S50+S51+S54+S57+S58+S59+S60+S62+S64+S65+S66+S67+S68+S70+S72+S75+S76</f>
        <v>63216015.570000008</v>
      </c>
      <c r="H98" s="5"/>
      <c r="I98" s="5"/>
      <c r="J98" s="5"/>
      <c r="K98" s="92" t="s">
        <v>138</v>
      </c>
      <c r="L98" s="92">
        <v>1</v>
      </c>
      <c r="M98" s="99">
        <f>M17+M18+M21+M22+M25+M26+M28+M29+M30</f>
        <v>6436000</v>
      </c>
      <c r="N98" s="92"/>
      <c r="O98" s="5"/>
      <c r="P98" s="5"/>
      <c r="Q98" s="5"/>
      <c r="R98" s="98"/>
      <c r="S98" s="5"/>
      <c r="T98" s="5"/>
      <c r="U98" s="5"/>
      <c r="V98" s="5"/>
      <c r="W98" s="5"/>
      <c r="X98" s="68"/>
      <c r="Y98" s="68"/>
      <c r="Z98" s="5"/>
      <c r="AA98" s="5"/>
    </row>
    <row r="99" spans="1:27" ht="14.25" customHeight="1">
      <c r="A99" s="5"/>
      <c r="B99" s="5"/>
      <c r="C99" s="5">
        <v>4</v>
      </c>
      <c r="D99" s="100">
        <f>W34+W36+W38+W40+W42+W43+W48+W52+W53+W55+W61+W63+W69+W71+W73+W74</f>
        <v>0</v>
      </c>
      <c r="E99" s="5"/>
      <c r="F99" s="5">
        <v>4</v>
      </c>
      <c r="G99" s="30">
        <f>S34+S36+S38+S40+S42+S43+S48+S52+S53+S55+S61+S63+S69+S71+S73+S74</f>
        <v>702485.19000000006</v>
      </c>
      <c r="H99" s="5"/>
      <c r="I99" s="5"/>
      <c r="J99" s="5"/>
      <c r="K99" s="92"/>
      <c r="L99" s="92"/>
      <c r="M99" s="92"/>
      <c r="N99" s="92"/>
      <c r="O99" s="5"/>
      <c r="P99" s="5"/>
      <c r="Q99" s="5"/>
      <c r="R99" s="98"/>
      <c r="S99" s="5"/>
      <c r="T99" s="101" t="s">
        <v>139</v>
      </c>
      <c r="U99" s="102">
        <f>U15+U16+U19+U23+U24+U27</f>
        <v>10220878.82</v>
      </c>
      <c r="V99" s="5"/>
      <c r="W99" s="68"/>
      <c r="X99" s="68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/>
      <c r="L100" s="92"/>
      <c r="M100" s="97">
        <f>M97-M98</f>
        <v>0</v>
      </c>
      <c r="N100" s="92"/>
      <c r="O100" s="5"/>
      <c r="P100" s="5"/>
      <c r="Q100" s="5"/>
      <c r="R100" s="5"/>
      <c r="S100" s="5"/>
      <c r="T100" s="101" t="s">
        <v>140</v>
      </c>
      <c r="U100" s="102">
        <f>U41+U43+U51+U52+U54+U58+U60+U61+U62+U65</f>
        <v>565823.31999999995</v>
      </c>
      <c r="V100" s="68"/>
      <c r="W100" s="68"/>
      <c r="X100" s="68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101" t="s">
        <v>136</v>
      </c>
      <c r="U101" s="102">
        <f>U99+U100</f>
        <v>10786702.140000001</v>
      </c>
      <c r="V101" s="68"/>
      <c r="W101" s="68"/>
      <c r="X101" s="68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 t="s">
        <v>141</v>
      </c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5" t="s">
        <v>137</v>
      </c>
      <c r="L103" s="95">
        <v>3</v>
      </c>
      <c r="M103" s="96">
        <f>L15+L16+L19+L23+L24+L27+L35+L37+L41+L47+L49+L50+L51+L54+L57+L58+L59+L60+L62+L64+L65+L66+L67+L68+L70+L72+L75+L76</f>
        <v>396000</v>
      </c>
      <c r="N103" s="97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 t="s">
        <v>142</v>
      </c>
      <c r="L104" s="92">
        <v>3</v>
      </c>
      <c r="M104" s="99">
        <f>M15+M16+M19+M23+M24+M27+M35+M37+M41+M47+M49+M50+M51+M54+M57+M58+M59+M60+M62+M64+M65+M66+M67+M68+M70+M72+M75+M76</f>
        <v>396000</v>
      </c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8"/>
      <c r="E105" s="5"/>
      <c r="F105" s="5"/>
      <c r="G105" s="5"/>
      <c r="H105" s="5"/>
      <c r="I105" s="5"/>
      <c r="J105" s="5"/>
      <c r="K105" s="92"/>
      <c r="L105" s="92"/>
      <c r="M105" s="92"/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7">
        <f>M103-M104</f>
        <v>0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2"/>
      <c r="L108" s="92" t="s">
        <v>135</v>
      </c>
      <c r="M108" s="92"/>
      <c r="N108" s="9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5" t="s">
        <v>143</v>
      </c>
      <c r="L109" s="95">
        <v>4</v>
      </c>
      <c r="M109" s="96">
        <f>L34+L36+L38+L40+L42+L43+L48+L52+L53+L55+L61+L63+L69+L71+L73+L74</f>
        <v>1148820.79</v>
      </c>
      <c r="N109" s="97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2" t="s">
        <v>144</v>
      </c>
      <c r="L110" s="92">
        <v>4</v>
      </c>
      <c r="M110" s="99">
        <f>M34+M36+M38+M40+M42+M43+M48+M52+M53+M55+M61+M63+M69+M71+M73+M74</f>
        <v>11075227.08</v>
      </c>
      <c r="N110" s="9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2"/>
      <c r="L111" s="92"/>
      <c r="M111" s="92"/>
      <c r="N111" s="9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8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8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F1"/>
    <mergeCell ref="A2:F2"/>
    <mergeCell ref="A3:F3"/>
    <mergeCell ref="A4:F4"/>
    <mergeCell ref="A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004"/>
  <sheetViews>
    <sheetView workbookViewId="0"/>
  </sheetViews>
  <sheetFormatPr defaultColWidth="12.625" defaultRowHeight="15" customHeight="1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1.62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>
      <c r="A1" s="141" t="s">
        <v>0</v>
      </c>
      <c r="B1" s="142"/>
      <c r="C1" s="143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3"/>
      <c r="X1" s="1"/>
    </row>
    <row r="2" spans="1:24" ht="14.25" customHeight="1">
      <c r="A2" s="144" t="s">
        <v>1</v>
      </c>
      <c r="B2" s="145"/>
      <c r="C2" s="146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3"/>
      <c r="X2" s="1"/>
    </row>
    <row r="3" spans="1:24" ht="14.25" customHeight="1">
      <c r="A3" s="144" t="s">
        <v>2</v>
      </c>
      <c r="B3" s="145"/>
      <c r="C3" s="145"/>
      <c r="D3" s="145"/>
      <c r="E3" s="145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3"/>
      <c r="X3" s="1"/>
    </row>
    <row r="4" spans="1:24" ht="14.25" customHeight="1">
      <c r="A4" s="141" t="s">
        <v>169</v>
      </c>
      <c r="B4" s="142"/>
      <c r="C4" s="142"/>
      <c r="D4" s="142"/>
      <c r="E4" s="142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3"/>
      <c r="X4" s="1"/>
    </row>
    <row r="5" spans="1:24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3"/>
      <c r="X5" s="1"/>
    </row>
    <row r="6" spans="1:24" ht="14.25" customHeight="1">
      <c r="A6" s="141" t="s">
        <v>174</v>
      </c>
      <c r="B6" s="142"/>
      <c r="C6" s="142"/>
      <c r="D6" s="142"/>
      <c r="E6" s="142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3"/>
      <c r="X6" s="1"/>
    </row>
    <row r="7" spans="1:24" ht="14.25" customHeight="1">
      <c r="A7" s="141" t="s">
        <v>175</v>
      </c>
      <c r="B7" s="142"/>
      <c r="C7" s="142"/>
      <c r="D7" s="142"/>
      <c r="E7" s="142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3"/>
      <c r="X7" s="1"/>
    </row>
    <row r="8" spans="1:24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3"/>
      <c r="X8" s="1"/>
    </row>
    <row r="9" spans="1:24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3"/>
      <c r="X9" s="1"/>
    </row>
    <row r="10" spans="1:24" ht="14.25" customHeight="1">
      <c r="A10" s="147" t="s">
        <v>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</row>
    <row r="12" spans="1:24" ht="21" customHeight="1">
      <c r="A12" s="151" t="s">
        <v>8</v>
      </c>
      <c r="B12" s="142"/>
      <c r="C12" s="142"/>
      <c r="D12" s="142"/>
      <c r="E12" s="142"/>
      <c r="F12" s="142"/>
      <c r="G12" s="142"/>
      <c r="H12" s="142"/>
      <c r="I12" s="142"/>
      <c r="J12" s="143"/>
      <c r="K12" s="149" t="s">
        <v>9</v>
      </c>
      <c r="L12" s="151" t="s">
        <v>10</v>
      </c>
      <c r="M12" s="143"/>
      <c r="N12" s="149" t="s">
        <v>11</v>
      </c>
      <c r="O12" s="149" t="s">
        <v>12</v>
      </c>
      <c r="P12" s="151" t="s">
        <v>13</v>
      </c>
      <c r="Q12" s="143"/>
      <c r="R12" s="149" t="s">
        <v>14</v>
      </c>
      <c r="S12" s="151" t="s">
        <v>15</v>
      </c>
      <c r="T12" s="142"/>
      <c r="U12" s="142"/>
      <c r="V12" s="142"/>
      <c r="W12" s="142"/>
      <c r="X12" s="143"/>
    </row>
    <row r="13" spans="1:24" ht="14.25" customHeight="1">
      <c r="A13" s="151" t="s">
        <v>16</v>
      </c>
      <c r="B13" s="143"/>
      <c r="C13" s="149" t="s">
        <v>17</v>
      </c>
      <c r="D13" s="149" t="s">
        <v>18</v>
      </c>
      <c r="E13" s="151" t="s">
        <v>19</v>
      </c>
      <c r="F13" s="143"/>
      <c r="G13" s="149" t="s">
        <v>20</v>
      </c>
      <c r="H13" s="151" t="s">
        <v>21</v>
      </c>
      <c r="I13" s="143"/>
      <c r="J13" s="154" t="s">
        <v>22</v>
      </c>
      <c r="K13" s="150"/>
      <c r="L13" s="14" t="s">
        <v>23</v>
      </c>
      <c r="M13" s="14" t="s">
        <v>24</v>
      </c>
      <c r="N13" s="150"/>
      <c r="O13" s="150"/>
      <c r="P13" s="15" t="s">
        <v>25</v>
      </c>
      <c r="Q13" s="15" t="s">
        <v>26</v>
      </c>
      <c r="R13" s="15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</row>
    <row r="14" spans="1:24" ht="25.5" customHeight="1">
      <c r="A14" s="16" t="s">
        <v>31</v>
      </c>
      <c r="B14" s="16" t="s">
        <v>19</v>
      </c>
      <c r="C14" s="150"/>
      <c r="D14" s="150"/>
      <c r="E14" s="15" t="s">
        <v>32</v>
      </c>
      <c r="F14" s="15" t="s">
        <v>33</v>
      </c>
      <c r="G14" s="150"/>
      <c r="H14" s="15" t="s">
        <v>31</v>
      </c>
      <c r="I14" s="15" t="s">
        <v>19</v>
      </c>
      <c r="J14" s="15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</row>
    <row r="15" spans="1:24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105">
        <v>500000</v>
      </c>
      <c r="L15" s="105">
        <v>0</v>
      </c>
      <c r="M15" s="105">
        <v>500000</v>
      </c>
      <c r="N15" s="26">
        <f t="shared" ref="N15:N29" si="0">K15+L15-M15</f>
        <v>0</v>
      </c>
      <c r="O15" s="27"/>
      <c r="P15" s="27"/>
      <c r="Q15" s="27"/>
      <c r="R15" s="26">
        <f t="shared" ref="R15:R29" si="1">N15-O15+P15+Q15</f>
        <v>0</v>
      </c>
      <c r="S15" s="105">
        <v>0</v>
      </c>
      <c r="T15" s="28">
        <f t="shared" ref="T15:T30" si="2">IF(R15&gt;0,S15/R15,0)</f>
        <v>0</v>
      </c>
      <c r="U15" s="106">
        <v>0</v>
      </c>
      <c r="V15" s="28">
        <f t="shared" ref="V15:V30" si="3">IF(R15&gt;0,U15/R15,0)</f>
        <v>0</v>
      </c>
      <c r="W15" s="105">
        <v>0</v>
      </c>
      <c r="X15" s="28">
        <f t="shared" ref="X15:X30" si="4">IF(R15&gt;0,W15/R15,0)</f>
        <v>0</v>
      </c>
    </row>
    <row r="16" spans="1:24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105">
        <v>68272700</v>
      </c>
      <c r="L16" s="105">
        <v>9016685.7799999993</v>
      </c>
      <c r="M16" s="105">
        <v>6574685.7800000003</v>
      </c>
      <c r="N16" s="26">
        <f t="shared" si="0"/>
        <v>70714700</v>
      </c>
      <c r="O16" s="27"/>
      <c r="P16" s="27"/>
      <c r="Q16" s="27"/>
      <c r="R16" s="26">
        <f t="shared" si="1"/>
        <v>70714700</v>
      </c>
      <c r="S16" s="105">
        <v>70129717.909999996</v>
      </c>
      <c r="T16" s="28">
        <f t="shared" si="2"/>
        <v>0.99172757446471516</v>
      </c>
      <c r="U16" s="106">
        <v>70129717.909999996</v>
      </c>
      <c r="V16" s="28">
        <f t="shared" si="3"/>
        <v>0.99172757446471516</v>
      </c>
      <c r="W16" s="105">
        <v>63840782.259999998</v>
      </c>
      <c r="X16" s="28">
        <f t="shared" si="4"/>
        <v>0.9027936519563825</v>
      </c>
    </row>
    <row r="17" spans="1:24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105">
        <v>414524310</v>
      </c>
      <c r="L17" s="105">
        <v>40813060.119999997</v>
      </c>
      <c r="M17" s="105">
        <v>24458060.120000001</v>
      </c>
      <c r="N17" s="26">
        <f t="shared" si="0"/>
        <v>430879310</v>
      </c>
      <c r="O17" s="27"/>
      <c r="P17" s="27"/>
      <c r="Q17" s="27"/>
      <c r="R17" s="26">
        <f t="shared" si="1"/>
        <v>430879310</v>
      </c>
      <c r="S17" s="105">
        <v>430749846.48000002</v>
      </c>
      <c r="T17" s="28">
        <f t="shared" si="2"/>
        <v>0.99969953646648757</v>
      </c>
      <c r="U17" s="107">
        <v>413458027.45999998</v>
      </c>
      <c r="V17" s="28">
        <f t="shared" si="3"/>
        <v>0.95956806897968705</v>
      </c>
      <c r="W17" s="105">
        <v>385825527.83999997</v>
      </c>
      <c r="X17" s="28">
        <f t="shared" si="4"/>
        <v>0.89543758283497055</v>
      </c>
    </row>
    <row r="18" spans="1:24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108">
        <v>500000</v>
      </c>
      <c r="L18" s="109">
        <v>0</v>
      </c>
      <c r="M18" s="109">
        <v>0</v>
      </c>
      <c r="N18" s="26">
        <f t="shared" si="0"/>
        <v>500000</v>
      </c>
      <c r="O18" s="36"/>
      <c r="P18" s="36"/>
      <c r="Q18" s="36"/>
      <c r="R18" s="26">
        <f t="shared" si="1"/>
        <v>500000</v>
      </c>
      <c r="S18" s="110">
        <v>60628</v>
      </c>
      <c r="T18" s="38">
        <f t="shared" si="2"/>
        <v>0.121256</v>
      </c>
      <c r="U18" s="107">
        <v>60628</v>
      </c>
      <c r="V18" s="38">
        <f t="shared" si="3"/>
        <v>0.121256</v>
      </c>
      <c r="W18" s="109">
        <v>42988</v>
      </c>
      <c r="X18" s="38">
        <f t="shared" si="4"/>
        <v>8.5975999999999997E-2</v>
      </c>
    </row>
    <row r="19" spans="1:24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105">
        <v>18400000</v>
      </c>
      <c r="L19" s="105">
        <v>2848936</v>
      </c>
      <c r="M19" s="105">
        <v>1310636</v>
      </c>
      <c r="N19" s="26">
        <f t="shared" si="0"/>
        <v>19938300</v>
      </c>
      <c r="O19" s="27"/>
      <c r="P19" s="27"/>
      <c r="Q19" s="27"/>
      <c r="R19" s="26">
        <f t="shared" si="1"/>
        <v>19938300</v>
      </c>
      <c r="S19" s="105">
        <v>19872740.309999999</v>
      </c>
      <c r="T19" s="28">
        <f t="shared" si="2"/>
        <v>0.9967118716239598</v>
      </c>
      <c r="U19" s="106">
        <v>19866703.02</v>
      </c>
      <c r="V19" s="28">
        <f t="shared" si="3"/>
        <v>0.99640907299017467</v>
      </c>
      <c r="W19" s="105">
        <v>18149071.739999998</v>
      </c>
      <c r="X19" s="28">
        <f t="shared" si="4"/>
        <v>0.91026174448172603</v>
      </c>
    </row>
    <row r="20" spans="1:24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105">
        <v>105706108</v>
      </c>
      <c r="L20" s="105">
        <v>19027311.469999999</v>
      </c>
      <c r="M20" s="105">
        <v>10107311.470000001</v>
      </c>
      <c r="N20" s="26">
        <f t="shared" si="0"/>
        <v>114626108</v>
      </c>
      <c r="O20" s="27"/>
      <c r="P20" s="27"/>
      <c r="Q20" s="27"/>
      <c r="R20" s="26">
        <f t="shared" si="1"/>
        <v>114626108</v>
      </c>
      <c r="S20" s="105">
        <v>114626108</v>
      </c>
      <c r="T20" s="28">
        <f t="shared" si="2"/>
        <v>1</v>
      </c>
      <c r="U20" s="107">
        <v>105185521.92</v>
      </c>
      <c r="V20" s="28">
        <f t="shared" si="3"/>
        <v>0.91764017600597592</v>
      </c>
      <c r="W20" s="105">
        <v>97638444.079999998</v>
      </c>
      <c r="X20" s="28">
        <f t="shared" si="4"/>
        <v>0.85179934819037906</v>
      </c>
    </row>
    <row r="21" spans="1:24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105">
        <v>116644198</v>
      </c>
      <c r="L21" s="105">
        <v>5454718.3399999999</v>
      </c>
      <c r="M21" s="105">
        <v>4239718.34</v>
      </c>
      <c r="N21" s="26">
        <f t="shared" si="0"/>
        <v>117859198</v>
      </c>
      <c r="O21" s="27"/>
      <c r="P21" s="27"/>
      <c r="Q21" s="27"/>
      <c r="R21" s="26">
        <f t="shared" si="1"/>
        <v>117859198</v>
      </c>
      <c r="S21" s="105">
        <v>117602999.89</v>
      </c>
      <c r="T21" s="28">
        <f t="shared" si="2"/>
        <v>0.99782623575972407</v>
      </c>
      <c r="U21" s="107">
        <v>117455834.97</v>
      </c>
      <c r="V21" s="28">
        <f t="shared" si="3"/>
        <v>0.99657758548467301</v>
      </c>
      <c r="W21" s="105">
        <v>108712997.79000001</v>
      </c>
      <c r="X21" s="28">
        <f t="shared" si="4"/>
        <v>0.9223972302102379</v>
      </c>
    </row>
    <row r="22" spans="1:24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105">
        <v>19300000</v>
      </c>
      <c r="L22" s="105">
        <v>3189336.8</v>
      </c>
      <c r="M22" s="105">
        <v>831836.8</v>
      </c>
      <c r="N22" s="26">
        <f t="shared" si="0"/>
        <v>21657500</v>
      </c>
      <c r="O22" s="27"/>
      <c r="P22" s="27"/>
      <c r="Q22" s="27"/>
      <c r="R22" s="26">
        <f t="shared" si="1"/>
        <v>21657500</v>
      </c>
      <c r="S22" s="105">
        <v>21544061.09</v>
      </c>
      <c r="T22" s="28">
        <f t="shared" si="2"/>
        <v>0.99476214198314672</v>
      </c>
      <c r="U22" s="106">
        <v>21541464.699999999</v>
      </c>
      <c r="V22" s="28">
        <f t="shared" si="3"/>
        <v>0.99464225787833316</v>
      </c>
      <c r="W22" s="105">
        <v>19673682.510000002</v>
      </c>
      <c r="X22" s="28">
        <f t="shared" si="4"/>
        <v>0.90840043910885382</v>
      </c>
    </row>
    <row r="23" spans="1:24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105">
        <v>1500000</v>
      </c>
      <c r="L23" s="105">
        <v>764050</v>
      </c>
      <c r="M23" s="105">
        <v>0</v>
      </c>
      <c r="N23" s="26">
        <f t="shared" si="0"/>
        <v>2264050</v>
      </c>
      <c r="O23" s="27"/>
      <c r="P23" s="27"/>
      <c r="Q23" s="27"/>
      <c r="R23" s="26">
        <f t="shared" si="1"/>
        <v>2264050</v>
      </c>
      <c r="S23" s="105">
        <v>2264033.0699999998</v>
      </c>
      <c r="T23" s="28">
        <f t="shared" si="2"/>
        <v>0.99999252224995028</v>
      </c>
      <c r="U23" s="106">
        <v>1798056.31</v>
      </c>
      <c r="V23" s="28">
        <f t="shared" si="3"/>
        <v>0.79417694397208549</v>
      </c>
      <c r="W23" s="105">
        <v>1798056.31</v>
      </c>
      <c r="X23" s="28">
        <f t="shared" si="4"/>
        <v>0.79417694397208549</v>
      </c>
    </row>
    <row r="24" spans="1:24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108">
        <v>400000</v>
      </c>
      <c r="L24" s="105">
        <v>0</v>
      </c>
      <c r="M24" s="105">
        <v>264050</v>
      </c>
      <c r="N24" s="26">
        <f t="shared" si="0"/>
        <v>135950</v>
      </c>
      <c r="O24" s="26"/>
      <c r="P24" s="26"/>
      <c r="Q24" s="26"/>
      <c r="R24" s="26">
        <f t="shared" si="1"/>
        <v>135950</v>
      </c>
      <c r="S24" s="109">
        <v>57440</v>
      </c>
      <c r="T24" s="28">
        <f t="shared" si="2"/>
        <v>0.42250827510114014</v>
      </c>
      <c r="U24" s="107">
        <v>57440</v>
      </c>
      <c r="V24" s="28">
        <f t="shared" si="3"/>
        <v>0.42250827510114014</v>
      </c>
      <c r="W24" s="105">
        <v>57080</v>
      </c>
      <c r="X24" s="28">
        <f t="shared" si="4"/>
        <v>0.41986024273630013</v>
      </c>
    </row>
    <row r="25" spans="1:24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105">
        <v>113229101.53</v>
      </c>
      <c r="M25" s="105">
        <v>54056901.530000001</v>
      </c>
      <c r="N25" s="26">
        <f t="shared" si="0"/>
        <v>175722200</v>
      </c>
      <c r="O25" s="26"/>
      <c r="P25" s="26"/>
      <c r="Q25" s="26">
        <f>-4131900.83-25850336.53</f>
        <v>-29982237.359999999</v>
      </c>
      <c r="R25" s="26">
        <f t="shared" si="1"/>
        <v>145739962.63999999</v>
      </c>
      <c r="S25" s="25">
        <f>149716615.63-S26</f>
        <v>144189315.63</v>
      </c>
      <c r="T25" s="28">
        <f t="shared" si="2"/>
        <v>0.98936017972071033</v>
      </c>
      <c r="U25" s="32">
        <f>93533653.43-U26</f>
        <v>88308751.260000005</v>
      </c>
      <c r="V25" s="28">
        <f t="shared" si="3"/>
        <v>0.60593367570798773</v>
      </c>
      <c r="W25" s="25">
        <f>93533653.43-W26</f>
        <v>88308751.260000005</v>
      </c>
      <c r="X25" s="28">
        <f t="shared" si="4"/>
        <v>0.60593367570798773</v>
      </c>
    </row>
    <row r="26" spans="1:24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105"/>
      <c r="M26" s="105"/>
      <c r="N26" s="26">
        <f t="shared" si="0"/>
        <v>5527300</v>
      </c>
      <c r="O26" s="26"/>
      <c r="P26" s="26"/>
      <c r="Q26" s="122"/>
      <c r="R26" s="26">
        <f t="shared" si="1"/>
        <v>5527300</v>
      </c>
      <c r="S26" s="25">
        <f>337742.28+5189557.72</f>
        <v>5527300</v>
      </c>
      <c r="T26" s="28">
        <f t="shared" si="2"/>
        <v>1</v>
      </c>
      <c r="U26" s="29">
        <f>337742.28+4887159.89</f>
        <v>5224902.17</v>
      </c>
      <c r="V26" s="28">
        <f t="shared" si="3"/>
        <v>0.94529013623288038</v>
      </c>
      <c r="W26" s="25">
        <f>337742.28+4887159.89</f>
        <v>5224902.17</v>
      </c>
      <c r="X26" s="28">
        <f t="shared" si="4"/>
        <v>0.94529013623288038</v>
      </c>
    </row>
    <row r="27" spans="1:24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</row>
    <row r="28" spans="1:24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105">
        <v>1444384</v>
      </c>
      <c r="L28" s="105"/>
      <c r="M28" s="105"/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105">
        <v>936851.79</v>
      </c>
      <c r="T28" s="28">
        <f t="shared" si="2"/>
        <v>0.64861684288942556</v>
      </c>
      <c r="U28" s="107">
        <v>936851.79</v>
      </c>
      <c r="V28" s="28">
        <f t="shared" si="3"/>
        <v>0.64861684288942556</v>
      </c>
      <c r="W28" s="105">
        <v>936851.79</v>
      </c>
      <c r="X28" s="28">
        <f t="shared" si="4"/>
        <v>0.64861684288942556</v>
      </c>
    </row>
    <row r="29" spans="1:24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</row>
    <row r="30" spans="1:24" ht="15" customHeight="1">
      <c r="A30" s="155" t="s">
        <v>86</v>
      </c>
      <c r="B30" s="142"/>
      <c r="C30" s="142"/>
      <c r="D30" s="142"/>
      <c r="E30" s="142"/>
      <c r="F30" s="142"/>
      <c r="G30" s="142"/>
      <c r="H30" s="142"/>
      <c r="I30" s="142"/>
      <c r="J30" s="143"/>
      <c r="K30" s="39">
        <f t="shared" ref="K30:N30" si="5">SUM(K15:K29)</f>
        <v>869269000</v>
      </c>
      <c r="L30" s="39">
        <f t="shared" si="5"/>
        <v>194343200.04000002</v>
      </c>
      <c r="M30" s="39">
        <f t="shared" si="5"/>
        <v>102343200.04000001</v>
      </c>
      <c r="N30" s="39">
        <f t="shared" si="5"/>
        <v>961269000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-29982237.359999999</v>
      </c>
      <c r="R30" s="39">
        <f t="shared" si="7"/>
        <v>931286762.63999999</v>
      </c>
      <c r="S30" s="39">
        <f t="shared" si="7"/>
        <v>927561042.17000008</v>
      </c>
      <c r="T30" s="40">
        <f t="shared" si="2"/>
        <v>0.99599938427188817</v>
      </c>
      <c r="U30" s="39">
        <f>SUM(U15:U29)</f>
        <v>844023899.50999987</v>
      </c>
      <c r="V30" s="40">
        <f t="shared" si="3"/>
        <v>0.90629861109307674</v>
      </c>
      <c r="W30" s="39">
        <f>SUM(W15:W29)</f>
        <v>790209135.74999976</v>
      </c>
      <c r="X30" s="40">
        <f t="shared" si="4"/>
        <v>0.84851322648453076</v>
      </c>
    </row>
    <row r="31" spans="1:24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</row>
    <row r="32" spans="1:24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</row>
    <row r="33" spans="1:24" ht="63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112">
        <v>2000000</v>
      </c>
      <c r="L33" s="105">
        <v>0</v>
      </c>
      <c r="M33" s="105">
        <v>104217.92</v>
      </c>
      <c r="N33" s="26">
        <f t="shared" ref="N33:N84" si="8">K33+L33-M33</f>
        <v>1895782.08</v>
      </c>
      <c r="O33" s="26"/>
      <c r="P33" s="26"/>
      <c r="Q33" s="26"/>
      <c r="R33" s="26">
        <f t="shared" ref="R33:R84" si="9">N33-O33+P33+Q33</f>
        <v>1895782.08</v>
      </c>
      <c r="S33" s="112">
        <v>1882187.59</v>
      </c>
      <c r="T33" s="28">
        <f t="shared" ref="T33:T86" si="10">IF(R33&gt;0,S33/R33,0)</f>
        <v>0.99282908613631371</v>
      </c>
      <c r="U33" s="113">
        <v>1882187.59</v>
      </c>
      <c r="V33" s="28">
        <f t="shared" ref="V33:V86" si="11">IF(R33&gt;0,U33/R33,0)</f>
        <v>0.99282908613631371</v>
      </c>
      <c r="W33" s="105">
        <v>1882187.59</v>
      </c>
      <c r="X33" s="28">
        <f t="shared" ref="X33:X86" si="12">IF(R33&gt;0,W33/R33,0)</f>
        <v>0.99282908613631371</v>
      </c>
    </row>
    <row r="34" spans="1:24" ht="63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112">
        <v>0</v>
      </c>
      <c r="L34" s="105">
        <v>1067974.79</v>
      </c>
      <c r="M34" s="105">
        <v>0</v>
      </c>
      <c r="N34" s="26">
        <f t="shared" si="8"/>
        <v>1067974.79</v>
      </c>
      <c r="O34" s="26"/>
      <c r="P34" s="26"/>
      <c r="Q34" s="26"/>
      <c r="R34" s="26">
        <f t="shared" si="9"/>
        <v>1067974.79</v>
      </c>
      <c r="S34" s="112">
        <v>1067974.79</v>
      </c>
      <c r="T34" s="28">
        <f t="shared" si="10"/>
        <v>1</v>
      </c>
      <c r="U34" s="111">
        <v>630563.34</v>
      </c>
      <c r="V34" s="28">
        <f t="shared" si="11"/>
        <v>0.59042904935986362</v>
      </c>
      <c r="W34" s="105">
        <v>630563.34</v>
      </c>
      <c r="X34" s="28">
        <f t="shared" si="12"/>
        <v>0.59042904935986362</v>
      </c>
    </row>
    <row r="35" spans="1:24" ht="63" customHeight="1">
      <c r="A35" s="22" t="s">
        <v>87</v>
      </c>
      <c r="B35" s="23" t="s">
        <v>88</v>
      </c>
      <c r="C35" s="23" t="s">
        <v>50</v>
      </c>
      <c r="D35" s="104" t="s">
        <v>163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112">
        <v>0</v>
      </c>
      <c r="L35" s="105">
        <v>96713.11</v>
      </c>
      <c r="M35" s="105">
        <v>0</v>
      </c>
      <c r="N35" s="26">
        <f t="shared" si="8"/>
        <v>96713.11</v>
      </c>
      <c r="O35" s="26"/>
      <c r="P35" s="26"/>
      <c r="Q35" s="26"/>
      <c r="R35" s="26">
        <f t="shared" si="9"/>
        <v>96713.11</v>
      </c>
      <c r="S35" s="112">
        <v>0</v>
      </c>
      <c r="T35" s="28">
        <f t="shared" si="10"/>
        <v>0</v>
      </c>
      <c r="U35" s="111">
        <v>0</v>
      </c>
      <c r="V35" s="28">
        <f t="shared" si="11"/>
        <v>0</v>
      </c>
      <c r="W35" s="105">
        <v>0</v>
      </c>
      <c r="X35" s="28">
        <f t="shared" si="12"/>
        <v>0</v>
      </c>
    </row>
    <row r="36" spans="1:24" ht="63" customHeight="1">
      <c r="A36" s="22" t="s">
        <v>87</v>
      </c>
      <c r="B36" s="23" t="s">
        <v>88</v>
      </c>
      <c r="C36" s="23" t="s">
        <v>50</v>
      </c>
      <c r="D36" s="23" t="s">
        <v>155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44">
        <v>4</v>
      </c>
      <c r="K36" s="112">
        <v>0</v>
      </c>
      <c r="L36" s="105">
        <v>17200</v>
      </c>
      <c r="M36" s="105">
        <v>0</v>
      </c>
      <c r="N36" s="26">
        <f t="shared" si="8"/>
        <v>17200</v>
      </c>
      <c r="O36" s="26"/>
      <c r="P36" s="26"/>
      <c r="Q36" s="26"/>
      <c r="R36" s="26">
        <f t="shared" si="9"/>
        <v>17200</v>
      </c>
      <c r="S36" s="112">
        <v>0</v>
      </c>
      <c r="T36" s="28">
        <f t="shared" si="10"/>
        <v>0</v>
      </c>
      <c r="U36" s="113">
        <v>0</v>
      </c>
      <c r="V36" s="28">
        <f t="shared" si="11"/>
        <v>0</v>
      </c>
      <c r="W36" s="105">
        <v>0</v>
      </c>
      <c r="X36" s="28">
        <f t="shared" si="12"/>
        <v>0</v>
      </c>
    </row>
    <row r="37" spans="1:24" ht="63" customHeight="1">
      <c r="A37" s="22" t="s">
        <v>87</v>
      </c>
      <c r="B37" s="23" t="s">
        <v>88</v>
      </c>
      <c r="C37" s="23" t="s">
        <v>50</v>
      </c>
      <c r="D37" s="23" t="s">
        <v>97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112">
        <v>0</v>
      </c>
      <c r="L37" s="105">
        <f>965733.82-L38</f>
        <v>861515.89999999991</v>
      </c>
      <c r="M37" s="105">
        <v>0</v>
      </c>
      <c r="N37" s="26">
        <f t="shared" si="8"/>
        <v>861515.89999999991</v>
      </c>
      <c r="O37" s="26"/>
      <c r="P37" s="26"/>
      <c r="Q37" s="26"/>
      <c r="R37" s="26">
        <f t="shared" si="9"/>
        <v>861515.89999999991</v>
      </c>
      <c r="S37" s="112">
        <f>727402.14-S38</f>
        <v>657798.93000000005</v>
      </c>
      <c r="T37" s="28">
        <f t="shared" si="10"/>
        <v>0.76353661029355369</v>
      </c>
      <c r="U37" s="106">
        <f>727402.14-U38</f>
        <v>657798.93000000005</v>
      </c>
      <c r="V37" s="28">
        <f t="shared" si="11"/>
        <v>0.76353661029355369</v>
      </c>
      <c r="W37" s="105">
        <f>714411.15-W38</f>
        <v>644807.94000000006</v>
      </c>
      <c r="X37" s="28">
        <f t="shared" si="12"/>
        <v>0.74845738772784132</v>
      </c>
    </row>
    <row r="38" spans="1:24" ht="63" customHeight="1">
      <c r="A38" s="47" t="s">
        <v>87</v>
      </c>
      <c r="B38" s="23" t="s">
        <v>88</v>
      </c>
      <c r="C38" s="48" t="s">
        <v>50</v>
      </c>
      <c r="D38" s="48" t="s">
        <v>97</v>
      </c>
      <c r="E38" s="33" t="s">
        <v>90</v>
      </c>
      <c r="F38" s="23" t="s">
        <v>91</v>
      </c>
      <c r="G38" s="48" t="s">
        <v>54</v>
      </c>
      <c r="H38" s="48" t="s">
        <v>92</v>
      </c>
      <c r="I38" s="23" t="s">
        <v>56</v>
      </c>
      <c r="J38" s="49">
        <v>4</v>
      </c>
      <c r="K38" s="112">
        <v>0</v>
      </c>
      <c r="L38" s="129">
        <v>104217.92</v>
      </c>
      <c r="M38" s="129">
        <v>0</v>
      </c>
      <c r="N38" s="26">
        <f t="shared" si="8"/>
        <v>104217.92</v>
      </c>
      <c r="O38" s="51"/>
      <c r="P38" s="51"/>
      <c r="Q38" s="51"/>
      <c r="R38" s="26">
        <f t="shared" si="9"/>
        <v>104217.92</v>
      </c>
      <c r="S38" s="130">
        <v>69603.210000000006</v>
      </c>
      <c r="T38" s="28">
        <f t="shared" si="10"/>
        <v>0.66786220642284944</v>
      </c>
      <c r="U38" s="131">
        <v>69603.210000000006</v>
      </c>
      <c r="V38" s="28">
        <f t="shared" si="11"/>
        <v>0.66786220642284944</v>
      </c>
      <c r="W38" s="129">
        <v>69603.210000000006</v>
      </c>
      <c r="X38" s="28">
        <f t="shared" si="12"/>
        <v>0.66786220642284944</v>
      </c>
    </row>
    <row r="39" spans="1:24" ht="63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94</v>
      </c>
      <c r="I39" s="23" t="s">
        <v>56</v>
      </c>
      <c r="J39" s="24">
        <v>3</v>
      </c>
      <c r="K39" s="108">
        <v>0</v>
      </c>
      <c r="L39" s="105">
        <v>468584.19</v>
      </c>
      <c r="M39" s="105">
        <v>0</v>
      </c>
      <c r="N39" s="26">
        <f t="shared" si="8"/>
        <v>468584.19</v>
      </c>
      <c r="O39" s="27"/>
      <c r="P39" s="27"/>
      <c r="Q39" s="27"/>
      <c r="R39" s="26">
        <f t="shared" si="9"/>
        <v>468584.19</v>
      </c>
      <c r="S39" s="110">
        <v>266161.27</v>
      </c>
      <c r="T39" s="28">
        <f t="shared" si="10"/>
        <v>0.56801163095152662</v>
      </c>
      <c r="U39" s="106">
        <v>188689.16</v>
      </c>
      <c r="V39" s="28">
        <f t="shared" si="11"/>
        <v>0.40267931361491305</v>
      </c>
      <c r="W39" s="105">
        <v>184998</v>
      </c>
      <c r="X39" s="28">
        <f t="shared" si="12"/>
        <v>0.39480205254044104</v>
      </c>
    </row>
    <row r="40" spans="1:24" ht="66.75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44">
        <v>4</v>
      </c>
      <c r="K40" s="108">
        <v>0</v>
      </c>
      <c r="L40" s="105">
        <v>1229882.54</v>
      </c>
      <c r="M40" s="105">
        <v>0</v>
      </c>
      <c r="N40" s="26">
        <f t="shared" si="8"/>
        <v>1229882.54</v>
      </c>
      <c r="O40" s="27"/>
      <c r="P40" s="27"/>
      <c r="Q40" s="27"/>
      <c r="R40" s="26">
        <f t="shared" si="9"/>
        <v>1229882.54</v>
      </c>
      <c r="S40" s="110">
        <v>607061.54</v>
      </c>
      <c r="T40" s="28">
        <f t="shared" si="10"/>
        <v>0.49359310361459396</v>
      </c>
      <c r="U40" s="113">
        <v>607061.54</v>
      </c>
      <c r="V40" s="28">
        <f t="shared" si="11"/>
        <v>0.49359310361459396</v>
      </c>
      <c r="W40" s="105">
        <v>579051.01</v>
      </c>
      <c r="X40" s="28">
        <f t="shared" si="12"/>
        <v>0.4708181400802714</v>
      </c>
    </row>
    <row r="41" spans="1:24" ht="66.75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108">
        <v>3000000</v>
      </c>
      <c r="L41" s="105">
        <v>0</v>
      </c>
      <c r="M41" s="105">
        <v>2984626.56</v>
      </c>
      <c r="N41" s="26">
        <f t="shared" si="8"/>
        <v>15373.439999999944</v>
      </c>
      <c r="O41" s="27"/>
      <c r="P41" s="27"/>
      <c r="Q41" s="27"/>
      <c r="R41" s="26">
        <f t="shared" si="9"/>
        <v>15373.439999999944</v>
      </c>
      <c r="S41" s="110">
        <v>0</v>
      </c>
      <c r="T41" s="28">
        <f t="shared" si="10"/>
        <v>0</v>
      </c>
      <c r="U41" s="113">
        <v>0</v>
      </c>
      <c r="V41" s="28">
        <f t="shared" si="11"/>
        <v>0</v>
      </c>
      <c r="W41" s="105">
        <v>0</v>
      </c>
      <c r="X41" s="28">
        <f t="shared" si="12"/>
        <v>0</v>
      </c>
    </row>
    <row r="42" spans="1:24" ht="66.75" customHeight="1">
      <c r="A42" s="22" t="s">
        <v>87</v>
      </c>
      <c r="B42" s="23" t="s">
        <v>88</v>
      </c>
      <c r="C42" s="23" t="s">
        <v>50</v>
      </c>
      <c r="D42" s="104" t="s">
        <v>172</v>
      </c>
      <c r="E42" s="33" t="s">
        <v>90</v>
      </c>
      <c r="F42" s="23" t="s">
        <v>99</v>
      </c>
      <c r="G42" s="23" t="s">
        <v>54</v>
      </c>
      <c r="H42" s="23" t="s">
        <v>94</v>
      </c>
      <c r="I42" s="23" t="s">
        <v>56</v>
      </c>
      <c r="J42" s="44">
        <v>4</v>
      </c>
      <c r="K42" s="108">
        <v>0</v>
      </c>
      <c r="L42" s="105">
        <v>927578.28</v>
      </c>
      <c r="M42" s="105">
        <v>0</v>
      </c>
      <c r="N42" s="26">
        <f t="shared" si="8"/>
        <v>927578.28</v>
      </c>
      <c r="O42" s="27"/>
      <c r="P42" s="27"/>
      <c r="Q42" s="27"/>
      <c r="R42" s="26">
        <f t="shared" si="9"/>
        <v>927578.28</v>
      </c>
      <c r="S42" s="110">
        <v>0</v>
      </c>
      <c r="T42" s="28">
        <f t="shared" si="10"/>
        <v>0</v>
      </c>
      <c r="U42" s="113">
        <v>0</v>
      </c>
      <c r="V42" s="28">
        <f t="shared" si="11"/>
        <v>0</v>
      </c>
      <c r="W42" s="105">
        <v>0</v>
      </c>
      <c r="X42" s="28">
        <f t="shared" si="12"/>
        <v>0</v>
      </c>
    </row>
    <row r="43" spans="1:24" ht="66.75" customHeight="1">
      <c r="A43" s="22" t="s">
        <v>87</v>
      </c>
      <c r="B43" s="23" t="s">
        <v>88</v>
      </c>
      <c r="C43" s="23" t="s">
        <v>50</v>
      </c>
      <c r="D43" s="23" t="s">
        <v>168</v>
      </c>
      <c r="E43" s="33" t="s">
        <v>90</v>
      </c>
      <c r="F43" s="23" t="s">
        <v>99</v>
      </c>
      <c r="G43" s="23" t="s">
        <v>54</v>
      </c>
      <c r="H43" s="23" t="s">
        <v>94</v>
      </c>
      <c r="I43" s="23" t="s">
        <v>56</v>
      </c>
      <c r="J43" s="44">
        <v>4</v>
      </c>
      <c r="K43" s="108">
        <v>0</v>
      </c>
      <c r="L43" s="105">
        <v>3644491.47</v>
      </c>
      <c r="M43" s="105">
        <v>0</v>
      </c>
      <c r="N43" s="26">
        <f t="shared" si="8"/>
        <v>3644491.47</v>
      </c>
      <c r="O43" s="27"/>
      <c r="P43" s="27"/>
      <c r="Q43" s="27"/>
      <c r="R43" s="26">
        <f t="shared" si="9"/>
        <v>3644491.47</v>
      </c>
      <c r="S43" s="110">
        <v>609896.89</v>
      </c>
      <c r="T43" s="28">
        <f t="shared" si="10"/>
        <v>0.16734759705721028</v>
      </c>
      <c r="U43" s="113">
        <v>0</v>
      </c>
      <c r="V43" s="28">
        <f t="shared" si="11"/>
        <v>0</v>
      </c>
      <c r="W43" s="105">
        <v>0</v>
      </c>
      <c r="X43" s="28">
        <f t="shared" si="12"/>
        <v>0</v>
      </c>
    </row>
    <row r="44" spans="1:24" ht="63" customHeight="1">
      <c r="A44" s="22" t="s">
        <v>87</v>
      </c>
      <c r="B44" s="23" t="s">
        <v>88</v>
      </c>
      <c r="C44" s="23" t="s">
        <v>50</v>
      </c>
      <c r="D44" s="23" t="s">
        <v>152</v>
      </c>
      <c r="E44" s="33" t="s">
        <v>90</v>
      </c>
      <c r="F44" s="23" t="s">
        <v>99</v>
      </c>
      <c r="G44" s="23" t="s">
        <v>54</v>
      </c>
      <c r="H44" s="23" t="s">
        <v>94</v>
      </c>
      <c r="I44" s="23" t="s">
        <v>56</v>
      </c>
      <c r="J44" s="44">
        <v>4</v>
      </c>
      <c r="K44" s="108">
        <v>0</v>
      </c>
      <c r="L44" s="105">
        <v>1266244.77</v>
      </c>
      <c r="M44" s="105">
        <v>0</v>
      </c>
      <c r="N44" s="26">
        <f t="shared" si="8"/>
        <v>1266244.77</v>
      </c>
      <c r="O44" s="26"/>
      <c r="P44" s="26"/>
      <c r="Q44" s="26"/>
      <c r="R44" s="26">
        <f t="shared" si="9"/>
        <v>1266244.77</v>
      </c>
      <c r="S44" s="108">
        <v>597384.92000000004</v>
      </c>
      <c r="T44" s="28">
        <f t="shared" si="10"/>
        <v>0.47177681136641536</v>
      </c>
      <c r="U44" s="113">
        <v>580898.51</v>
      </c>
      <c r="V44" s="28">
        <f t="shared" si="11"/>
        <v>0.45875688789616875</v>
      </c>
      <c r="W44" s="105">
        <v>580898.51</v>
      </c>
      <c r="X44" s="28">
        <f t="shared" si="12"/>
        <v>0.45875688789616875</v>
      </c>
    </row>
    <row r="45" spans="1:24" ht="63" customHeight="1">
      <c r="A45" s="22" t="s">
        <v>87</v>
      </c>
      <c r="B45" s="23" t="s">
        <v>88</v>
      </c>
      <c r="C45" s="23" t="s">
        <v>50</v>
      </c>
      <c r="D45" s="23" t="s">
        <v>100</v>
      </c>
      <c r="E45" s="33" t="s">
        <v>90</v>
      </c>
      <c r="F45" s="23" t="s">
        <v>101</v>
      </c>
      <c r="G45" s="23" t="s">
        <v>54</v>
      </c>
      <c r="H45" s="23" t="s">
        <v>92</v>
      </c>
      <c r="I45" s="23" t="s">
        <v>56</v>
      </c>
      <c r="J45" s="44">
        <v>4</v>
      </c>
      <c r="K45" s="108">
        <v>50000</v>
      </c>
      <c r="L45" s="105">
        <v>0</v>
      </c>
      <c r="M45" s="105">
        <v>50000</v>
      </c>
      <c r="N45" s="26">
        <f t="shared" si="8"/>
        <v>0</v>
      </c>
      <c r="O45" s="26"/>
      <c r="P45" s="26"/>
      <c r="Q45" s="26"/>
      <c r="R45" s="26">
        <f t="shared" si="9"/>
        <v>0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105">
        <v>0</v>
      </c>
      <c r="X45" s="28">
        <f t="shared" si="12"/>
        <v>0</v>
      </c>
    </row>
    <row r="46" spans="1:24" ht="63" customHeight="1">
      <c r="A46" s="22" t="s">
        <v>87</v>
      </c>
      <c r="B46" s="23" t="s">
        <v>88</v>
      </c>
      <c r="C46" s="23" t="s">
        <v>50</v>
      </c>
      <c r="D46" s="23" t="s">
        <v>51</v>
      </c>
      <c r="E46" s="33" t="s">
        <v>90</v>
      </c>
      <c r="F46" s="23" t="s">
        <v>102</v>
      </c>
      <c r="G46" s="23" t="s">
        <v>54</v>
      </c>
      <c r="H46" s="23" t="s">
        <v>92</v>
      </c>
      <c r="I46" s="23" t="s">
        <v>56</v>
      </c>
      <c r="J46" s="24">
        <v>3</v>
      </c>
      <c r="K46" s="34">
        <f>44253337-K47</f>
        <v>43753337</v>
      </c>
      <c r="L46" s="105">
        <v>9861125.4199999999</v>
      </c>
      <c r="M46" s="105">
        <v>7281472.8200000003</v>
      </c>
      <c r="N46" s="26">
        <f t="shared" si="8"/>
        <v>46332989.600000001</v>
      </c>
      <c r="O46" s="26"/>
      <c r="P46" s="26"/>
      <c r="Q46" s="26"/>
      <c r="R46" s="26">
        <f t="shared" si="9"/>
        <v>46332989.600000001</v>
      </c>
      <c r="S46" s="34">
        <f>40651723.48-S47</f>
        <v>40168505.549999997</v>
      </c>
      <c r="T46" s="28">
        <f t="shared" si="10"/>
        <v>0.86695259461521978</v>
      </c>
      <c r="U46" s="29">
        <f>37805681.21-U47</f>
        <v>37482463.280000001</v>
      </c>
      <c r="V46" s="28">
        <f t="shared" si="11"/>
        <v>0.80898002921011603</v>
      </c>
      <c r="W46" s="25">
        <f>37706555.56-W47</f>
        <v>37383337.630000003</v>
      </c>
      <c r="X46" s="28">
        <f t="shared" si="12"/>
        <v>0.80684061082041647</v>
      </c>
    </row>
    <row r="47" spans="1:24" ht="63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23" t="s">
        <v>92</v>
      </c>
      <c r="I47" s="23" t="s">
        <v>56</v>
      </c>
      <c r="J47" s="44">
        <v>4</v>
      </c>
      <c r="K47" s="108">
        <f>500000</f>
        <v>500000</v>
      </c>
      <c r="L47" s="105">
        <v>0</v>
      </c>
      <c r="M47" s="105">
        <v>0</v>
      </c>
      <c r="N47" s="26">
        <f t="shared" si="8"/>
        <v>500000</v>
      </c>
      <c r="O47" s="26"/>
      <c r="P47" s="26"/>
      <c r="Q47" s="26"/>
      <c r="R47" s="26">
        <f t="shared" si="9"/>
        <v>500000</v>
      </c>
      <c r="S47" s="25">
        <f>160000+11820+42375+38094+224028.93+6900</f>
        <v>483217.93</v>
      </c>
      <c r="T47" s="28">
        <f t="shared" si="10"/>
        <v>0.96643586000000004</v>
      </c>
      <c r="U47" s="113">
        <f>11820+42375+38094+224028.93+6900</f>
        <v>323217.93</v>
      </c>
      <c r="V47" s="28">
        <f t="shared" si="11"/>
        <v>0.64643585999999997</v>
      </c>
      <c r="W47" s="25">
        <f>11820+42375+38094+224028.93+6900</f>
        <v>323217.93</v>
      </c>
      <c r="X47" s="28">
        <f t="shared" si="12"/>
        <v>0.64643585999999997</v>
      </c>
    </row>
    <row r="48" spans="1:24" ht="63" customHeight="1">
      <c r="A48" s="22" t="s">
        <v>87</v>
      </c>
      <c r="B48" s="33" t="s">
        <v>88</v>
      </c>
      <c r="C48" s="33" t="s">
        <v>50</v>
      </c>
      <c r="D48" s="33" t="s">
        <v>51</v>
      </c>
      <c r="E48" s="33" t="s">
        <v>90</v>
      </c>
      <c r="F48" s="23" t="s">
        <v>102</v>
      </c>
      <c r="G48" s="33" t="s">
        <v>54</v>
      </c>
      <c r="H48" s="33" t="s">
        <v>94</v>
      </c>
      <c r="I48" s="33" t="s">
        <v>56</v>
      </c>
      <c r="J48" s="24">
        <v>3</v>
      </c>
      <c r="K48" s="108">
        <v>0</v>
      </c>
      <c r="L48" s="35">
        <f>18209394.32-L49</f>
        <v>15997765.720000001</v>
      </c>
      <c r="M48" s="109">
        <v>1278002.3700000001</v>
      </c>
      <c r="N48" s="26">
        <f t="shared" si="8"/>
        <v>14719763.350000001</v>
      </c>
      <c r="O48" s="36"/>
      <c r="P48" s="36"/>
      <c r="Q48" s="36"/>
      <c r="R48" s="26">
        <f t="shared" si="9"/>
        <v>14719763.350000001</v>
      </c>
      <c r="S48" s="35">
        <f>10093234.99-S49</f>
        <v>8028412.7200000007</v>
      </c>
      <c r="T48" s="38">
        <f t="shared" si="10"/>
        <v>0.54541724137161485</v>
      </c>
      <c r="U48" s="54">
        <f>7697697.08-U49</f>
        <v>6002954.6699999999</v>
      </c>
      <c r="V48" s="38">
        <f t="shared" si="11"/>
        <v>0.40781597687845977</v>
      </c>
      <c r="W48" s="35">
        <f>7669995.84-W49</f>
        <v>5975253.4299999997</v>
      </c>
      <c r="X48" s="38">
        <f t="shared" si="12"/>
        <v>0.40593406890607375</v>
      </c>
    </row>
    <row r="49" spans="1:24" ht="63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44">
        <v>4</v>
      </c>
      <c r="K49" s="108">
        <v>0</v>
      </c>
      <c r="L49" s="109">
        <f>2159649.4+51979.2</f>
        <v>2211628.6</v>
      </c>
      <c r="M49" s="109">
        <v>0</v>
      </c>
      <c r="N49" s="26">
        <f t="shared" si="8"/>
        <v>2211628.6</v>
      </c>
      <c r="O49" s="36"/>
      <c r="P49" s="36"/>
      <c r="Q49" s="36"/>
      <c r="R49" s="26">
        <f t="shared" si="9"/>
        <v>2211628.6</v>
      </c>
      <c r="S49" s="35">
        <f>14030+330352.84+66190+348471.05+1253799.18+51979.2</f>
        <v>2064822.2699999998</v>
      </c>
      <c r="T49" s="38">
        <f t="shared" si="10"/>
        <v>0.93362071280865133</v>
      </c>
      <c r="U49" s="46">
        <f>330352.84+66190+346810.37+951389.2</f>
        <v>1694742.41</v>
      </c>
      <c r="V49" s="38">
        <f t="shared" si="11"/>
        <v>0.76628707460194712</v>
      </c>
      <c r="W49" s="35">
        <f>330352.84+66190+346810.37+951389.2</f>
        <v>1694742.41</v>
      </c>
      <c r="X49" s="38">
        <f t="shared" si="12"/>
        <v>0.76628707460194712</v>
      </c>
    </row>
    <row r="50" spans="1:24" ht="63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33" t="s">
        <v>92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26">
        <f t="shared" si="8"/>
        <v>65000</v>
      </c>
      <c r="O50" s="36"/>
      <c r="P50" s="36"/>
      <c r="Q50" s="36"/>
      <c r="R50" s="2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109">
        <v>0</v>
      </c>
      <c r="X50" s="38">
        <f t="shared" si="12"/>
        <v>0</v>
      </c>
    </row>
    <row r="51" spans="1:24" ht="63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108">
        <v>0</v>
      </c>
      <c r="L51" s="109">
        <v>7625000</v>
      </c>
      <c r="M51" s="109">
        <v>0</v>
      </c>
      <c r="N51" s="26">
        <f t="shared" si="8"/>
        <v>7625000</v>
      </c>
      <c r="O51" s="36"/>
      <c r="P51" s="36"/>
      <c r="Q51" s="36"/>
      <c r="R51" s="26">
        <f t="shared" si="9"/>
        <v>7625000</v>
      </c>
      <c r="S51" s="110">
        <v>7164342.7400000002</v>
      </c>
      <c r="T51" s="38">
        <f t="shared" si="10"/>
        <v>0.93958593311475413</v>
      </c>
      <c r="U51" s="115">
        <v>6583389.4299999997</v>
      </c>
      <c r="V51" s="38">
        <f t="shared" si="11"/>
        <v>0.8633953350819672</v>
      </c>
      <c r="W51" s="109">
        <v>6583389.4299999997</v>
      </c>
      <c r="X51" s="38">
        <f t="shared" si="12"/>
        <v>0.8633953350819672</v>
      </c>
    </row>
    <row r="52" spans="1:24" ht="63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33" t="s">
        <v>92</v>
      </c>
      <c r="I52" s="33" t="s">
        <v>63</v>
      </c>
      <c r="J52" s="44">
        <v>4</v>
      </c>
      <c r="K52" s="108">
        <v>800000</v>
      </c>
      <c r="L52" s="109">
        <v>0</v>
      </c>
      <c r="M52" s="109">
        <v>800000</v>
      </c>
      <c r="N52" s="26">
        <f t="shared" si="8"/>
        <v>0</v>
      </c>
      <c r="O52" s="36"/>
      <c r="P52" s="36"/>
      <c r="Q52" s="36"/>
      <c r="R52" s="26">
        <f t="shared" si="9"/>
        <v>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109">
        <v>0</v>
      </c>
      <c r="X52" s="38">
        <f t="shared" si="12"/>
        <v>0</v>
      </c>
    </row>
    <row r="53" spans="1:24" ht="63" customHeight="1">
      <c r="A53" s="22" t="s">
        <v>87</v>
      </c>
      <c r="B53" s="33" t="s">
        <v>88</v>
      </c>
      <c r="C53" s="33" t="s">
        <v>50</v>
      </c>
      <c r="D53" s="33" t="s">
        <v>156</v>
      </c>
      <c r="E53" s="33" t="s">
        <v>104</v>
      </c>
      <c r="F53" s="33" t="s">
        <v>106</v>
      </c>
      <c r="G53" s="33" t="s">
        <v>54</v>
      </c>
      <c r="H53" s="33" t="s">
        <v>94</v>
      </c>
      <c r="I53" s="33" t="s">
        <v>63</v>
      </c>
      <c r="J53" s="44">
        <v>4</v>
      </c>
      <c r="K53" s="108">
        <v>0</v>
      </c>
      <c r="L53" s="109">
        <v>1279780.1100000001</v>
      </c>
      <c r="M53" s="109">
        <v>0</v>
      </c>
      <c r="N53" s="26">
        <f t="shared" si="8"/>
        <v>1279780.1100000001</v>
      </c>
      <c r="O53" s="36"/>
      <c r="P53" s="36"/>
      <c r="Q53" s="36"/>
      <c r="R53" s="26">
        <f t="shared" si="9"/>
        <v>1279780.1100000001</v>
      </c>
      <c r="S53" s="110">
        <v>30000</v>
      </c>
      <c r="T53" s="38">
        <f t="shared" si="10"/>
        <v>2.3441526997946542E-2</v>
      </c>
      <c r="U53" s="113">
        <v>30000</v>
      </c>
      <c r="V53" s="38">
        <f t="shared" si="11"/>
        <v>2.3441526997946542E-2</v>
      </c>
      <c r="W53" s="109">
        <v>30000</v>
      </c>
      <c r="X53" s="38">
        <f t="shared" si="12"/>
        <v>2.3441526997946542E-2</v>
      </c>
    </row>
    <row r="54" spans="1:24" ht="63" customHeight="1">
      <c r="A54" s="22" t="s">
        <v>87</v>
      </c>
      <c r="B54" s="33" t="s">
        <v>88</v>
      </c>
      <c r="C54" s="33" t="s">
        <v>50</v>
      </c>
      <c r="D54" s="33" t="s">
        <v>107</v>
      </c>
      <c r="E54" s="33" t="s">
        <v>104</v>
      </c>
      <c r="F54" s="33" t="s">
        <v>108</v>
      </c>
      <c r="G54" s="33" t="s">
        <v>54</v>
      </c>
      <c r="H54" s="33" t="s">
        <v>92</v>
      </c>
      <c r="I54" s="33" t="s">
        <v>63</v>
      </c>
      <c r="J54" s="44">
        <v>4</v>
      </c>
      <c r="K54" s="108">
        <v>50000</v>
      </c>
      <c r="L54" s="109">
        <v>0</v>
      </c>
      <c r="M54" s="109">
        <v>50000</v>
      </c>
      <c r="N54" s="26">
        <f t="shared" si="8"/>
        <v>0</v>
      </c>
      <c r="O54" s="36"/>
      <c r="P54" s="36"/>
      <c r="Q54" s="36"/>
      <c r="R54" s="26">
        <f t="shared" si="9"/>
        <v>0</v>
      </c>
      <c r="S54" s="110">
        <v>0</v>
      </c>
      <c r="T54" s="38">
        <f t="shared" si="10"/>
        <v>0</v>
      </c>
      <c r="U54" s="113">
        <v>0</v>
      </c>
      <c r="V54" s="38">
        <f t="shared" si="11"/>
        <v>0</v>
      </c>
      <c r="W54" s="109">
        <v>0</v>
      </c>
      <c r="X54" s="38">
        <f t="shared" si="12"/>
        <v>0</v>
      </c>
    </row>
    <row r="55" spans="1:24" ht="63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33" t="s">
        <v>92</v>
      </c>
      <c r="I55" s="33" t="s">
        <v>63</v>
      </c>
      <c r="J55" s="44">
        <v>4</v>
      </c>
      <c r="K55" s="108">
        <v>200000</v>
      </c>
      <c r="L55" s="109">
        <v>0</v>
      </c>
      <c r="M55" s="109">
        <v>0</v>
      </c>
      <c r="N55" s="26">
        <f t="shared" si="8"/>
        <v>200000</v>
      </c>
      <c r="O55" s="36"/>
      <c r="P55" s="36"/>
      <c r="Q55" s="36"/>
      <c r="R55" s="26">
        <f t="shared" si="9"/>
        <v>200000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109">
        <v>0</v>
      </c>
      <c r="X55" s="38">
        <f t="shared" si="12"/>
        <v>0</v>
      </c>
    </row>
    <row r="56" spans="1:24" ht="63" customHeight="1">
      <c r="A56" s="22" t="s">
        <v>87</v>
      </c>
      <c r="B56" s="33" t="s">
        <v>88</v>
      </c>
      <c r="C56" s="33" t="s">
        <v>50</v>
      </c>
      <c r="D56" s="33" t="s">
        <v>109</v>
      </c>
      <c r="E56" s="33" t="s">
        <v>104</v>
      </c>
      <c r="F56" s="33" t="s">
        <v>110</v>
      </c>
      <c r="G56" s="33" t="s">
        <v>54</v>
      </c>
      <c r="H56" s="33" t="s">
        <v>92</v>
      </c>
      <c r="I56" s="33" t="s">
        <v>63</v>
      </c>
      <c r="J56" s="24">
        <v>3</v>
      </c>
      <c r="K56" s="108">
        <v>0</v>
      </c>
      <c r="L56" s="109">
        <v>21603.9</v>
      </c>
      <c r="M56" s="109">
        <v>0</v>
      </c>
      <c r="N56" s="26">
        <f t="shared" si="8"/>
        <v>21603.9</v>
      </c>
      <c r="O56" s="36"/>
      <c r="P56" s="36"/>
      <c r="Q56" s="36"/>
      <c r="R56" s="26">
        <f t="shared" si="9"/>
        <v>21603.9</v>
      </c>
      <c r="S56" s="110">
        <v>21603.9</v>
      </c>
      <c r="T56" s="38">
        <f t="shared" si="10"/>
        <v>1</v>
      </c>
      <c r="U56" s="106">
        <v>21603.9</v>
      </c>
      <c r="V56" s="38">
        <f t="shared" si="11"/>
        <v>1</v>
      </c>
      <c r="W56" s="109">
        <v>21603.9</v>
      </c>
      <c r="X56" s="38">
        <f t="shared" si="12"/>
        <v>1</v>
      </c>
    </row>
    <row r="57" spans="1:24" ht="63" customHeight="1">
      <c r="A57" s="22" t="s">
        <v>87</v>
      </c>
      <c r="B57" s="33" t="s">
        <v>88</v>
      </c>
      <c r="C57" s="33" t="s">
        <v>50</v>
      </c>
      <c r="D57" s="33" t="s">
        <v>109</v>
      </c>
      <c r="E57" s="33" t="s">
        <v>104</v>
      </c>
      <c r="F57" s="33" t="s">
        <v>110</v>
      </c>
      <c r="G57" s="33" t="s">
        <v>54</v>
      </c>
      <c r="H57" s="33" t="s">
        <v>92</v>
      </c>
      <c r="I57" s="33" t="s">
        <v>63</v>
      </c>
      <c r="J57" s="44">
        <v>4</v>
      </c>
      <c r="K57" s="108">
        <v>0</v>
      </c>
      <c r="L57" s="109">
        <v>152093.76000000001</v>
      </c>
      <c r="M57" s="109">
        <v>0</v>
      </c>
      <c r="N57" s="26">
        <f t="shared" si="8"/>
        <v>152093.76000000001</v>
      </c>
      <c r="O57" s="36"/>
      <c r="P57" s="36"/>
      <c r="Q57" s="36"/>
      <c r="R57" s="26">
        <f t="shared" si="9"/>
        <v>152093.76000000001</v>
      </c>
      <c r="S57" s="110">
        <v>152093.76000000001</v>
      </c>
      <c r="T57" s="38">
        <f t="shared" si="10"/>
        <v>1</v>
      </c>
      <c r="U57" s="132">
        <v>152093.76000000001</v>
      </c>
      <c r="V57" s="38">
        <f t="shared" si="11"/>
        <v>1</v>
      </c>
      <c r="W57" s="109">
        <v>152093.76000000001</v>
      </c>
      <c r="X57" s="38">
        <f t="shared" si="12"/>
        <v>1</v>
      </c>
    </row>
    <row r="58" spans="1:24" ht="63" customHeight="1">
      <c r="A58" s="22" t="s">
        <v>87</v>
      </c>
      <c r="B58" s="33" t="s">
        <v>88</v>
      </c>
      <c r="C58" s="33" t="s">
        <v>50</v>
      </c>
      <c r="D58" s="33" t="s">
        <v>109</v>
      </c>
      <c r="E58" s="33" t="s">
        <v>104</v>
      </c>
      <c r="F58" s="33" t="s">
        <v>110</v>
      </c>
      <c r="G58" s="33" t="s">
        <v>54</v>
      </c>
      <c r="H58" s="33" t="s">
        <v>94</v>
      </c>
      <c r="I58" s="33" t="s">
        <v>63</v>
      </c>
      <c r="J58" s="44">
        <v>4</v>
      </c>
      <c r="K58" s="108">
        <v>0</v>
      </c>
      <c r="L58" s="109">
        <v>81150</v>
      </c>
      <c r="M58" s="109">
        <v>0</v>
      </c>
      <c r="N58" s="26">
        <f t="shared" si="8"/>
        <v>81150</v>
      </c>
      <c r="O58" s="36"/>
      <c r="P58" s="36"/>
      <c r="Q58" s="36"/>
      <c r="R58" s="26">
        <f t="shared" si="9"/>
        <v>81150</v>
      </c>
      <c r="S58" s="110">
        <v>0</v>
      </c>
      <c r="T58" s="38">
        <f t="shared" si="10"/>
        <v>0</v>
      </c>
      <c r="U58" s="132">
        <v>0</v>
      </c>
      <c r="V58" s="38">
        <f t="shared" si="11"/>
        <v>0</v>
      </c>
      <c r="W58" s="109">
        <v>0</v>
      </c>
      <c r="X58" s="38">
        <f t="shared" si="12"/>
        <v>0</v>
      </c>
    </row>
    <row r="59" spans="1:24" ht="63" customHeight="1">
      <c r="A59" s="22" t="s">
        <v>87</v>
      </c>
      <c r="B59" s="33" t="s">
        <v>88</v>
      </c>
      <c r="C59" s="33" t="s">
        <v>50</v>
      </c>
      <c r="D59" s="33" t="s">
        <v>61</v>
      </c>
      <c r="E59" s="33" t="s">
        <v>104</v>
      </c>
      <c r="F59" s="33" t="s">
        <v>62</v>
      </c>
      <c r="G59" s="33" t="s">
        <v>54</v>
      </c>
      <c r="H59" s="33" t="s">
        <v>112</v>
      </c>
      <c r="I59" s="33" t="s">
        <v>63</v>
      </c>
      <c r="J59" s="24">
        <v>3</v>
      </c>
      <c r="K59" s="108">
        <v>300000</v>
      </c>
      <c r="L59" s="109">
        <v>162265.88</v>
      </c>
      <c r="M59" s="109">
        <v>162265.88</v>
      </c>
      <c r="N59" s="26">
        <f t="shared" si="8"/>
        <v>300000</v>
      </c>
      <c r="O59" s="36"/>
      <c r="P59" s="36"/>
      <c r="Q59" s="36"/>
      <c r="R59" s="26">
        <f t="shared" si="9"/>
        <v>300000</v>
      </c>
      <c r="S59" s="110">
        <v>235390.7</v>
      </c>
      <c r="T59" s="38">
        <f t="shared" si="10"/>
        <v>0.78463566666666673</v>
      </c>
      <c r="U59" s="115">
        <v>183862.5</v>
      </c>
      <c r="V59" s="38">
        <f t="shared" si="11"/>
        <v>0.61287499999999995</v>
      </c>
      <c r="W59" s="109">
        <v>181238.97</v>
      </c>
      <c r="X59" s="38">
        <f t="shared" si="12"/>
        <v>0.6041299</v>
      </c>
    </row>
    <row r="60" spans="1:24" ht="63" customHeight="1">
      <c r="A60" s="22" t="s">
        <v>87</v>
      </c>
      <c r="B60" s="23" t="s">
        <v>88</v>
      </c>
      <c r="C60" s="23" t="s">
        <v>50</v>
      </c>
      <c r="D60" s="23" t="s">
        <v>64</v>
      </c>
      <c r="E60" s="33" t="s">
        <v>104</v>
      </c>
      <c r="F60" s="33" t="s">
        <v>66</v>
      </c>
      <c r="G60" s="23" t="s">
        <v>54</v>
      </c>
      <c r="H60" s="23" t="s">
        <v>92</v>
      </c>
      <c r="I60" s="23" t="s">
        <v>63</v>
      </c>
      <c r="J60" s="24">
        <v>3</v>
      </c>
      <c r="K60" s="108">
        <v>20000</v>
      </c>
      <c r="L60" s="105">
        <v>0</v>
      </c>
      <c r="M60" s="105">
        <v>47</v>
      </c>
      <c r="N60" s="26">
        <f t="shared" si="8"/>
        <v>19953</v>
      </c>
      <c r="O60" s="26"/>
      <c r="P60" s="26"/>
      <c r="Q60" s="26"/>
      <c r="R60" s="26">
        <f t="shared" si="9"/>
        <v>19953</v>
      </c>
      <c r="S60" s="110">
        <v>0</v>
      </c>
      <c r="T60" s="28">
        <f t="shared" si="10"/>
        <v>0</v>
      </c>
      <c r="U60" s="106">
        <v>0</v>
      </c>
      <c r="V60" s="28">
        <f t="shared" si="11"/>
        <v>0</v>
      </c>
      <c r="W60" s="105">
        <v>0</v>
      </c>
      <c r="X60" s="28">
        <f t="shared" si="12"/>
        <v>0</v>
      </c>
    </row>
    <row r="61" spans="1:24" ht="63" customHeight="1">
      <c r="A61" s="22" t="s">
        <v>87</v>
      </c>
      <c r="B61" s="23" t="s">
        <v>88</v>
      </c>
      <c r="C61" s="23" t="s">
        <v>50</v>
      </c>
      <c r="D61" s="23" t="s">
        <v>64</v>
      </c>
      <c r="E61" s="33" t="s">
        <v>104</v>
      </c>
      <c r="F61" s="33" t="s">
        <v>66</v>
      </c>
      <c r="G61" s="23" t="s">
        <v>54</v>
      </c>
      <c r="H61" s="23" t="s">
        <v>94</v>
      </c>
      <c r="I61" s="23" t="s">
        <v>63</v>
      </c>
      <c r="J61" s="24">
        <v>3</v>
      </c>
      <c r="K61" s="108">
        <v>0</v>
      </c>
      <c r="L61" s="105">
        <v>625500</v>
      </c>
      <c r="M61" s="105">
        <v>0</v>
      </c>
      <c r="N61" s="26">
        <f t="shared" si="8"/>
        <v>625500</v>
      </c>
      <c r="O61" s="26"/>
      <c r="P61" s="26"/>
      <c r="Q61" s="26"/>
      <c r="R61" s="26">
        <f t="shared" si="9"/>
        <v>625500</v>
      </c>
      <c r="S61" s="110">
        <v>617079.63</v>
      </c>
      <c r="T61" s="28">
        <f t="shared" si="10"/>
        <v>0.98653817745803363</v>
      </c>
      <c r="U61" s="106">
        <v>561417.22</v>
      </c>
      <c r="V61" s="28">
        <f t="shared" si="11"/>
        <v>0.89754951239008784</v>
      </c>
      <c r="W61" s="105">
        <v>561417.22</v>
      </c>
      <c r="X61" s="28">
        <f t="shared" si="12"/>
        <v>0.89754951239008784</v>
      </c>
    </row>
    <row r="62" spans="1:24" ht="63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92</v>
      </c>
      <c r="I62" s="23" t="s">
        <v>63</v>
      </c>
      <c r="J62" s="24">
        <v>3</v>
      </c>
      <c r="K62" s="34">
        <f>9026663-K63</f>
        <v>8826663</v>
      </c>
      <c r="L62" s="25">
        <f>16443782.31-L63</f>
        <v>15746966.210000001</v>
      </c>
      <c r="M62" s="105">
        <v>884616.33</v>
      </c>
      <c r="N62" s="26">
        <f t="shared" si="8"/>
        <v>23689012.880000003</v>
      </c>
      <c r="O62" s="26"/>
      <c r="P62" s="26"/>
      <c r="Q62" s="26"/>
      <c r="R62" s="26">
        <f t="shared" si="9"/>
        <v>23689012.880000003</v>
      </c>
      <c r="S62" s="25">
        <f>22979246.42-S63</f>
        <v>22112598.170000002</v>
      </c>
      <c r="T62" s="28">
        <f t="shared" si="10"/>
        <v>0.93345376111763079</v>
      </c>
      <c r="U62" s="29">
        <f>22327540.69-U63</f>
        <v>21460892.440000001</v>
      </c>
      <c r="V62" s="28">
        <f t="shared" si="11"/>
        <v>0.9059428752355847</v>
      </c>
      <c r="W62" s="25">
        <f>22194235.44-W63</f>
        <v>21327587.190000001</v>
      </c>
      <c r="X62" s="28">
        <f t="shared" si="12"/>
        <v>0.90031557237263826</v>
      </c>
    </row>
    <row r="63" spans="1:24" ht="63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92</v>
      </c>
      <c r="I63" s="23" t="s">
        <v>63</v>
      </c>
      <c r="J63" s="44">
        <v>4</v>
      </c>
      <c r="K63" s="108">
        <f>200000</f>
        <v>200000</v>
      </c>
      <c r="L63" s="105">
        <v>696816.1</v>
      </c>
      <c r="M63" s="105">
        <v>0</v>
      </c>
      <c r="N63" s="26">
        <f t="shared" si="8"/>
        <v>896816.1</v>
      </c>
      <c r="O63" s="26"/>
      <c r="P63" s="26"/>
      <c r="Q63" s="26"/>
      <c r="R63" s="26">
        <f t="shared" si="9"/>
        <v>896816.1</v>
      </c>
      <c r="S63" s="25">
        <f>1498+13160.25+2350+849640</f>
        <v>866648.25</v>
      </c>
      <c r="T63" s="28">
        <f t="shared" si="10"/>
        <v>0.96636116367670033</v>
      </c>
      <c r="U63" s="46">
        <f>1498+13160.25+2350+849640</f>
        <v>866648.25</v>
      </c>
      <c r="V63" s="28">
        <f t="shared" si="11"/>
        <v>0.96636116367670033</v>
      </c>
      <c r="W63" s="105">
        <f>1498+13160.25+2350+849640</f>
        <v>866648.25</v>
      </c>
      <c r="X63" s="28">
        <f t="shared" si="12"/>
        <v>0.96636116367670033</v>
      </c>
    </row>
    <row r="64" spans="1:24" ht="63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104</v>
      </c>
      <c r="F64" s="33" t="s">
        <v>114</v>
      </c>
      <c r="G64" s="23" t="s">
        <v>54</v>
      </c>
      <c r="H64" s="23" t="s">
        <v>94</v>
      </c>
      <c r="I64" s="23" t="s">
        <v>63</v>
      </c>
      <c r="J64" s="24">
        <v>3</v>
      </c>
      <c r="K64" s="108">
        <v>0</v>
      </c>
      <c r="L64" s="25">
        <f>13828705.54-L65</f>
        <v>12386692.18</v>
      </c>
      <c r="M64" s="105">
        <v>593372.5</v>
      </c>
      <c r="N64" s="26">
        <f t="shared" si="8"/>
        <v>11793319.68</v>
      </c>
      <c r="O64" s="26"/>
      <c r="P64" s="26"/>
      <c r="Q64" s="26"/>
      <c r="R64" s="26">
        <f t="shared" si="9"/>
        <v>11793319.68</v>
      </c>
      <c r="S64" s="35">
        <f>11054570.1-S65</f>
        <v>9816574.0199999996</v>
      </c>
      <c r="T64" s="28">
        <f t="shared" si="10"/>
        <v>0.83238428927248409</v>
      </c>
      <c r="U64" s="29">
        <f>10017591.87-U65</f>
        <v>8915862.6600000001</v>
      </c>
      <c r="V64" s="28">
        <f t="shared" si="11"/>
        <v>0.75600958016258912</v>
      </c>
      <c r="W64" s="25">
        <f>9904677.31-W65</f>
        <v>8802948.1000000015</v>
      </c>
      <c r="X64" s="28">
        <f t="shared" si="12"/>
        <v>0.74643512928159694</v>
      </c>
    </row>
    <row r="65" spans="1:24" ht="63" customHeight="1">
      <c r="A65" s="22" t="s">
        <v>87</v>
      </c>
      <c r="B65" s="23" t="s">
        <v>88</v>
      </c>
      <c r="C65" s="23" t="s">
        <v>50</v>
      </c>
      <c r="D65" s="23" t="s">
        <v>113</v>
      </c>
      <c r="E65" s="33" t="s">
        <v>104</v>
      </c>
      <c r="F65" s="33" t="s">
        <v>114</v>
      </c>
      <c r="G65" s="23" t="s">
        <v>54</v>
      </c>
      <c r="H65" s="23" t="s">
        <v>94</v>
      </c>
      <c r="I65" s="23" t="s">
        <v>63</v>
      </c>
      <c r="J65" s="44">
        <v>4</v>
      </c>
      <c r="K65" s="108">
        <v>0</v>
      </c>
      <c r="L65" s="105">
        <f>1442013.36</f>
        <v>1442013.36</v>
      </c>
      <c r="M65" s="105">
        <v>0</v>
      </c>
      <c r="N65" s="26">
        <f t="shared" si="8"/>
        <v>1442013.36</v>
      </c>
      <c r="O65" s="26"/>
      <c r="P65" s="26"/>
      <c r="Q65" s="26"/>
      <c r="R65" s="26">
        <f t="shared" si="9"/>
        <v>1442013.36</v>
      </c>
      <c r="S65" s="35">
        <f>97599.93+25659+41600+10350+44619.37+21620.58+188847.2+807700</f>
        <v>1237996.08</v>
      </c>
      <c r="T65" s="28">
        <f t="shared" si="10"/>
        <v>0.85851914714576572</v>
      </c>
      <c r="U65" s="46">
        <f>97599.93+25659+41600+10350+21620.58+97199.7+807700</f>
        <v>1101729.21</v>
      </c>
      <c r="V65" s="28">
        <f t="shared" si="11"/>
        <v>0.76402149977306721</v>
      </c>
      <c r="W65" s="25">
        <f>97599.93+25659+41600+10350+21620.58+97199.7+807700</f>
        <v>1101729.21</v>
      </c>
      <c r="X65" s="28">
        <f t="shared" si="12"/>
        <v>0.76402149977306721</v>
      </c>
    </row>
    <row r="66" spans="1:24" ht="34.5" hidden="1" customHeight="1">
      <c r="A66" s="22" t="s">
        <v>87</v>
      </c>
      <c r="B66" s="23" t="s">
        <v>88</v>
      </c>
      <c r="C66" s="23" t="s">
        <v>50</v>
      </c>
      <c r="D66" s="23" t="s">
        <v>113</v>
      </c>
      <c r="E66" s="33" t="s">
        <v>65</v>
      </c>
      <c r="F66" s="33" t="s">
        <v>114</v>
      </c>
      <c r="G66" s="23" t="s">
        <v>54</v>
      </c>
      <c r="H66" s="23" t="s">
        <v>115</v>
      </c>
      <c r="I66" s="23" t="s">
        <v>56</v>
      </c>
      <c r="J66" s="24">
        <v>3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29"/>
      <c r="V66" s="28">
        <f t="shared" si="11"/>
        <v>0</v>
      </c>
      <c r="W66" s="25"/>
      <c r="X66" s="28">
        <f t="shared" si="12"/>
        <v>0</v>
      </c>
    </row>
    <row r="67" spans="1:24" ht="63" customHeight="1">
      <c r="A67" s="22" t="s">
        <v>87</v>
      </c>
      <c r="B67" s="23" t="s">
        <v>88</v>
      </c>
      <c r="C67" s="23" t="s">
        <v>50</v>
      </c>
      <c r="D67" s="23" t="s">
        <v>116</v>
      </c>
      <c r="E67" s="33" t="s">
        <v>65</v>
      </c>
      <c r="F67" s="23" t="s">
        <v>117</v>
      </c>
      <c r="G67" s="23" t="s">
        <v>54</v>
      </c>
      <c r="H67" s="23" t="s">
        <v>92</v>
      </c>
      <c r="I67" s="23" t="s">
        <v>56</v>
      </c>
      <c r="J67" s="24">
        <v>3</v>
      </c>
      <c r="K67" s="108">
        <v>300000</v>
      </c>
      <c r="L67" s="105">
        <v>33000</v>
      </c>
      <c r="M67" s="105">
        <v>33000</v>
      </c>
      <c r="N67" s="26">
        <f t="shared" si="8"/>
        <v>300000</v>
      </c>
      <c r="O67" s="26"/>
      <c r="P67" s="26"/>
      <c r="Q67" s="26"/>
      <c r="R67" s="26">
        <f t="shared" si="9"/>
        <v>300000</v>
      </c>
      <c r="S67" s="109">
        <v>270755.90999999997</v>
      </c>
      <c r="T67" s="28">
        <f t="shared" si="10"/>
        <v>0.90251969999999992</v>
      </c>
      <c r="U67" s="106">
        <v>270755.90999999997</v>
      </c>
      <c r="V67" s="28">
        <f t="shared" si="11"/>
        <v>0.90251969999999992</v>
      </c>
      <c r="W67" s="105">
        <v>270755.90999999997</v>
      </c>
      <c r="X67" s="28">
        <f t="shared" si="12"/>
        <v>0.90251969999999992</v>
      </c>
    </row>
    <row r="68" spans="1:24" ht="63" customHeight="1">
      <c r="A68" s="22" t="s">
        <v>87</v>
      </c>
      <c r="B68" s="23" t="s">
        <v>88</v>
      </c>
      <c r="C68" s="23" t="s">
        <v>50</v>
      </c>
      <c r="D68" s="23" t="s">
        <v>116</v>
      </c>
      <c r="E68" s="33" t="s">
        <v>65</v>
      </c>
      <c r="F68" s="23" t="s">
        <v>117</v>
      </c>
      <c r="G68" s="23" t="s">
        <v>54</v>
      </c>
      <c r="H68" s="104" t="s">
        <v>94</v>
      </c>
      <c r="I68" s="23" t="s">
        <v>56</v>
      </c>
      <c r="J68" s="24">
        <v>3</v>
      </c>
      <c r="K68" s="108">
        <v>0</v>
      </c>
      <c r="L68" s="105">
        <v>200000</v>
      </c>
      <c r="M68" s="105">
        <v>0</v>
      </c>
      <c r="N68" s="26">
        <f t="shared" si="8"/>
        <v>200000</v>
      </c>
      <c r="O68" s="26"/>
      <c r="P68" s="26"/>
      <c r="Q68" s="26"/>
      <c r="R68" s="26">
        <f t="shared" si="9"/>
        <v>200000</v>
      </c>
      <c r="S68" s="109">
        <v>23664.48</v>
      </c>
      <c r="T68" s="28">
        <f t="shared" si="10"/>
        <v>0.11832239999999999</v>
      </c>
      <c r="U68" s="106">
        <v>23664.48</v>
      </c>
      <c r="V68" s="28">
        <f t="shared" si="11"/>
        <v>0.11832239999999999</v>
      </c>
      <c r="W68" s="105">
        <v>23664.48</v>
      </c>
      <c r="X68" s="28">
        <f t="shared" si="12"/>
        <v>0.11832239999999999</v>
      </c>
    </row>
    <row r="69" spans="1:24" ht="63" customHeight="1">
      <c r="A69" s="22" t="s">
        <v>87</v>
      </c>
      <c r="B69" s="23" t="s">
        <v>88</v>
      </c>
      <c r="C69" s="23" t="s">
        <v>50</v>
      </c>
      <c r="D69" s="23" t="s">
        <v>71</v>
      </c>
      <c r="E69" s="33" t="s">
        <v>65</v>
      </c>
      <c r="F69" s="23" t="s">
        <v>72</v>
      </c>
      <c r="G69" s="23" t="s">
        <v>54</v>
      </c>
      <c r="H69" s="23" t="s">
        <v>92</v>
      </c>
      <c r="I69" s="23" t="s">
        <v>56</v>
      </c>
      <c r="J69" s="24">
        <v>3</v>
      </c>
      <c r="K69" s="108">
        <v>15000</v>
      </c>
      <c r="L69" s="105">
        <v>0</v>
      </c>
      <c r="M69" s="105">
        <v>0</v>
      </c>
      <c r="N69" s="26">
        <f t="shared" si="8"/>
        <v>15000</v>
      </c>
      <c r="O69" s="26"/>
      <c r="P69" s="26"/>
      <c r="Q69" s="26"/>
      <c r="R69" s="26">
        <f t="shared" si="9"/>
        <v>15000</v>
      </c>
      <c r="S69" s="109">
        <v>0</v>
      </c>
      <c r="T69" s="28">
        <f t="shared" si="10"/>
        <v>0</v>
      </c>
      <c r="U69" s="111">
        <v>0</v>
      </c>
      <c r="V69" s="28">
        <f t="shared" si="11"/>
        <v>0</v>
      </c>
      <c r="W69" s="105">
        <v>0</v>
      </c>
      <c r="X69" s="28">
        <f t="shared" si="12"/>
        <v>0</v>
      </c>
    </row>
    <row r="70" spans="1:24" ht="63" customHeight="1">
      <c r="A70" s="22" t="s">
        <v>87</v>
      </c>
      <c r="B70" s="23" t="s">
        <v>88</v>
      </c>
      <c r="C70" s="23" t="s">
        <v>50</v>
      </c>
      <c r="D70" s="23" t="s">
        <v>71</v>
      </c>
      <c r="E70" s="33" t="s">
        <v>65</v>
      </c>
      <c r="F70" s="23" t="s">
        <v>72</v>
      </c>
      <c r="G70" s="23" t="s">
        <v>54</v>
      </c>
      <c r="H70" s="23" t="s">
        <v>94</v>
      </c>
      <c r="I70" s="23" t="s">
        <v>56</v>
      </c>
      <c r="J70" s="24">
        <v>3</v>
      </c>
      <c r="K70" s="108">
        <v>0</v>
      </c>
      <c r="L70" s="105">
        <v>112500</v>
      </c>
      <c r="M70" s="105">
        <v>0</v>
      </c>
      <c r="N70" s="26">
        <f t="shared" si="8"/>
        <v>112500</v>
      </c>
      <c r="O70" s="26"/>
      <c r="P70" s="26"/>
      <c r="Q70" s="26"/>
      <c r="R70" s="26">
        <f t="shared" si="9"/>
        <v>112500</v>
      </c>
      <c r="S70" s="109">
        <v>107792.36</v>
      </c>
      <c r="T70" s="28">
        <f t="shared" si="10"/>
        <v>0.95815431111111116</v>
      </c>
      <c r="U70" s="106">
        <v>100242.32</v>
      </c>
      <c r="V70" s="28">
        <f t="shared" si="11"/>
        <v>0.89104284444444448</v>
      </c>
      <c r="W70" s="105">
        <v>100242.32</v>
      </c>
      <c r="X70" s="28">
        <f t="shared" si="12"/>
        <v>0.89104284444444448</v>
      </c>
    </row>
    <row r="71" spans="1:24" ht="72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92</v>
      </c>
      <c r="I71" s="23" t="s">
        <v>56</v>
      </c>
      <c r="J71" s="24">
        <v>3</v>
      </c>
      <c r="K71" s="108">
        <f>18113000-K72</f>
        <v>15720000</v>
      </c>
      <c r="L71" s="105">
        <v>861000</v>
      </c>
      <c r="M71" s="105">
        <f>6872790.87-M72</f>
        <v>4821741.3</v>
      </c>
      <c r="N71" s="26">
        <f t="shared" si="8"/>
        <v>11759258.699999999</v>
      </c>
      <c r="O71" s="26"/>
      <c r="P71" s="26"/>
      <c r="Q71" s="26"/>
      <c r="R71" s="26">
        <f t="shared" si="9"/>
        <v>11759258.699999999</v>
      </c>
      <c r="S71" s="35">
        <f>9045238.21-S72</f>
        <v>9023038.2100000009</v>
      </c>
      <c r="T71" s="28">
        <f t="shared" si="10"/>
        <v>0.76731352206750936</v>
      </c>
      <c r="U71" s="29">
        <f>8400168.37-U72</f>
        <v>8377968.3699999992</v>
      </c>
      <c r="V71" s="28">
        <f t="shared" si="11"/>
        <v>0.71245718660820001</v>
      </c>
      <c r="W71" s="25">
        <f>8400168.37-W72</f>
        <v>8377968.3699999992</v>
      </c>
      <c r="X71" s="28">
        <f t="shared" si="12"/>
        <v>0.71245718660820001</v>
      </c>
    </row>
    <row r="72" spans="1:24" ht="72" customHeight="1">
      <c r="A72" s="22" t="s">
        <v>87</v>
      </c>
      <c r="B72" s="23" t="s">
        <v>88</v>
      </c>
      <c r="C72" s="23" t="s">
        <v>118</v>
      </c>
      <c r="D72" s="23" t="s">
        <v>119</v>
      </c>
      <c r="E72" s="33" t="s">
        <v>65</v>
      </c>
      <c r="F72" s="23" t="s">
        <v>120</v>
      </c>
      <c r="G72" s="23" t="s">
        <v>54</v>
      </c>
      <c r="H72" s="23" t="s">
        <v>92</v>
      </c>
      <c r="I72" s="23" t="s">
        <v>56</v>
      </c>
      <c r="J72" s="44">
        <v>4</v>
      </c>
      <c r="K72" s="108">
        <v>2393000</v>
      </c>
      <c r="L72" s="105"/>
      <c r="M72" s="105">
        <v>2051049.57</v>
      </c>
      <c r="N72" s="26">
        <f t="shared" si="8"/>
        <v>341950.42999999993</v>
      </c>
      <c r="O72" s="26"/>
      <c r="P72" s="26"/>
      <c r="Q72" s="26"/>
      <c r="R72" s="26">
        <f t="shared" si="9"/>
        <v>341950.42999999993</v>
      </c>
      <c r="S72" s="109">
        <v>22200</v>
      </c>
      <c r="T72" s="28">
        <f t="shared" si="10"/>
        <v>6.4921690550294106E-2</v>
      </c>
      <c r="U72" s="113">
        <v>22200</v>
      </c>
      <c r="V72" s="28">
        <f t="shared" si="11"/>
        <v>6.4921690550294106E-2</v>
      </c>
      <c r="W72" s="105">
        <v>22200</v>
      </c>
      <c r="X72" s="28">
        <f t="shared" si="12"/>
        <v>6.4921690550294106E-2</v>
      </c>
    </row>
    <row r="73" spans="1:24" ht="72" hidden="1" customHeight="1">
      <c r="A73" s="22" t="s">
        <v>87</v>
      </c>
      <c r="B73" s="23" t="s">
        <v>88</v>
      </c>
      <c r="C73" s="23" t="s">
        <v>118</v>
      </c>
      <c r="D73" s="23" t="s">
        <v>119</v>
      </c>
      <c r="E73" s="33" t="s">
        <v>65</v>
      </c>
      <c r="F73" s="23" t="s">
        <v>120</v>
      </c>
      <c r="G73" s="23" t="s">
        <v>54</v>
      </c>
      <c r="H73" s="23" t="s">
        <v>94</v>
      </c>
      <c r="I73" s="23" t="s">
        <v>56</v>
      </c>
      <c r="J73" s="24">
        <v>3</v>
      </c>
      <c r="K73" s="34"/>
      <c r="L73" s="25"/>
      <c r="M73" s="25"/>
      <c r="N73" s="26">
        <f t="shared" si="8"/>
        <v>0</v>
      </c>
      <c r="O73" s="26"/>
      <c r="P73" s="26"/>
      <c r="Q73" s="26"/>
      <c r="R73" s="26">
        <f t="shared" si="9"/>
        <v>0</v>
      </c>
      <c r="S73" s="35"/>
      <c r="T73" s="28">
        <f t="shared" si="10"/>
        <v>0</v>
      </c>
      <c r="U73" s="29"/>
      <c r="V73" s="28">
        <f t="shared" si="11"/>
        <v>0</v>
      </c>
      <c r="W73" s="25"/>
      <c r="X73" s="28">
        <f t="shared" si="12"/>
        <v>0</v>
      </c>
    </row>
    <row r="74" spans="1:24" ht="72" customHeight="1">
      <c r="A74" s="22" t="s">
        <v>87</v>
      </c>
      <c r="B74" s="23" t="s">
        <v>88</v>
      </c>
      <c r="C74" s="23" t="s">
        <v>118</v>
      </c>
      <c r="D74" s="23" t="s">
        <v>119</v>
      </c>
      <c r="E74" s="33" t="s">
        <v>65</v>
      </c>
      <c r="F74" s="23" t="s">
        <v>120</v>
      </c>
      <c r="G74" s="23" t="s">
        <v>54</v>
      </c>
      <c r="H74" s="23" t="s">
        <v>94</v>
      </c>
      <c r="I74" s="23" t="s">
        <v>56</v>
      </c>
      <c r="J74" s="24">
        <v>3</v>
      </c>
      <c r="K74" s="108">
        <v>0</v>
      </c>
      <c r="L74" s="105">
        <f>15297040.57-L75</f>
        <v>7769807.5700000003</v>
      </c>
      <c r="M74" s="105">
        <v>0</v>
      </c>
      <c r="N74" s="26">
        <f t="shared" si="8"/>
        <v>7769807.5700000003</v>
      </c>
      <c r="O74" s="26"/>
      <c r="P74" s="26"/>
      <c r="Q74" s="26"/>
      <c r="R74" s="26">
        <f t="shared" si="9"/>
        <v>7769807.5700000003</v>
      </c>
      <c r="S74" s="35">
        <f>10637246.54-S75</f>
        <v>5468247.3399999989</v>
      </c>
      <c r="T74" s="28">
        <f t="shared" si="10"/>
        <v>0.70378156611155285</v>
      </c>
      <c r="U74" s="55">
        <f>8822482.22-U75</f>
        <v>3653483.0200000005</v>
      </c>
      <c r="V74" s="28">
        <f t="shared" si="11"/>
        <v>0.4702153801216985</v>
      </c>
      <c r="W74" s="25">
        <f>8822482.22-W75</f>
        <v>3653483.0200000005</v>
      </c>
      <c r="X74" s="28">
        <f t="shared" si="12"/>
        <v>0.4702153801216985</v>
      </c>
    </row>
    <row r="75" spans="1:24" ht="72" customHeight="1">
      <c r="A75" s="22" t="s">
        <v>87</v>
      </c>
      <c r="B75" s="23" t="s">
        <v>88</v>
      </c>
      <c r="C75" s="23" t="s">
        <v>118</v>
      </c>
      <c r="D75" s="23" t="s">
        <v>119</v>
      </c>
      <c r="E75" s="33" t="s">
        <v>65</v>
      </c>
      <c r="F75" s="23" t="s">
        <v>120</v>
      </c>
      <c r="G75" s="23" t="s">
        <v>54</v>
      </c>
      <c r="H75" s="23" t="s">
        <v>94</v>
      </c>
      <c r="I75" s="23" t="s">
        <v>56</v>
      </c>
      <c r="J75" s="44">
        <v>4</v>
      </c>
      <c r="K75" s="108">
        <v>0</v>
      </c>
      <c r="L75" s="105">
        <f>7527233</f>
        <v>7527233</v>
      </c>
      <c r="M75" s="105">
        <v>0</v>
      </c>
      <c r="N75" s="26">
        <f t="shared" si="8"/>
        <v>7527233</v>
      </c>
      <c r="O75" s="26"/>
      <c r="P75" s="26"/>
      <c r="Q75" s="26"/>
      <c r="R75" s="26">
        <f t="shared" si="9"/>
        <v>7527233</v>
      </c>
      <c r="S75" s="109">
        <f>151499.2+5017500</f>
        <v>5168999.2</v>
      </c>
      <c r="T75" s="28">
        <f t="shared" si="10"/>
        <v>0.68670641655439657</v>
      </c>
      <c r="U75" s="113">
        <f>151499.2+5017500</f>
        <v>5168999.2</v>
      </c>
      <c r="V75" s="28">
        <f t="shared" si="11"/>
        <v>0.68670641655439657</v>
      </c>
      <c r="W75" s="25">
        <f>151499.2+5017500</f>
        <v>5168999.2</v>
      </c>
      <c r="X75" s="28">
        <f t="shared" si="12"/>
        <v>0.68670641655439657</v>
      </c>
    </row>
    <row r="76" spans="1:24" ht="72" customHeight="1">
      <c r="A76" s="22" t="s">
        <v>87</v>
      </c>
      <c r="B76" s="23" t="s">
        <v>88</v>
      </c>
      <c r="C76" s="23" t="s">
        <v>118</v>
      </c>
      <c r="D76" s="23" t="s">
        <v>121</v>
      </c>
      <c r="E76" s="33" t="s">
        <v>65</v>
      </c>
      <c r="F76" s="23" t="s">
        <v>122</v>
      </c>
      <c r="G76" s="23" t="s">
        <v>54</v>
      </c>
      <c r="H76" s="23" t="s">
        <v>92</v>
      </c>
      <c r="I76" s="23" t="s">
        <v>56</v>
      </c>
      <c r="J76" s="24">
        <v>3</v>
      </c>
      <c r="K76" s="34">
        <f>5300000-K77</f>
        <v>4400000</v>
      </c>
      <c r="L76" s="25">
        <f>2838209.31-L77</f>
        <v>1806209.31</v>
      </c>
      <c r="M76" s="25">
        <f>1700547.89-M77</f>
        <v>87509.309999999823</v>
      </c>
      <c r="N76" s="26">
        <f t="shared" si="8"/>
        <v>6118700.0000000009</v>
      </c>
      <c r="O76" s="26"/>
      <c r="P76" s="26"/>
      <c r="Q76" s="26"/>
      <c r="R76" s="26">
        <f t="shared" si="9"/>
        <v>6118700.0000000009</v>
      </c>
      <c r="S76" s="35">
        <f>3194351.67-S77</f>
        <v>3066906.67</v>
      </c>
      <c r="T76" s="28">
        <f t="shared" si="10"/>
        <v>0.5012350123392223</v>
      </c>
      <c r="U76" s="29">
        <f>2776683.01-U77</f>
        <v>2744683.01</v>
      </c>
      <c r="V76" s="28">
        <f t="shared" si="11"/>
        <v>0.4485729011064441</v>
      </c>
      <c r="W76" s="25">
        <f>2776683.01-W77</f>
        <v>2744683.01</v>
      </c>
      <c r="X76" s="28">
        <f t="shared" si="12"/>
        <v>0.4485729011064441</v>
      </c>
    </row>
    <row r="77" spans="1:24" ht="72" customHeight="1">
      <c r="A77" s="22" t="s">
        <v>87</v>
      </c>
      <c r="B77" s="23" t="s">
        <v>88</v>
      </c>
      <c r="C77" s="23" t="s">
        <v>118</v>
      </c>
      <c r="D77" s="23" t="s">
        <v>121</v>
      </c>
      <c r="E77" s="33" t="s">
        <v>65</v>
      </c>
      <c r="F77" s="23" t="s">
        <v>122</v>
      </c>
      <c r="G77" s="23" t="s">
        <v>54</v>
      </c>
      <c r="H77" s="23" t="s">
        <v>92</v>
      </c>
      <c r="I77" s="23" t="s">
        <v>56</v>
      </c>
      <c r="J77" s="44">
        <v>4</v>
      </c>
      <c r="K77" s="108">
        <v>900000</v>
      </c>
      <c r="L77" s="105">
        <f>1032000</f>
        <v>1032000</v>
      </c>
      <c r="M77" s="25">
        <f>713038.58+900000</f>
        <v>1613038.58</v>
      </c>
      <c r="N77" s="26">
        <f t="shared" si="8"/>
        <v>318961.41999999993</v>
      </c>
      <c r="O77" s="26"/>
      <c r="P77" s="26"/>
      <c r="Q77" s="26"/>
      <c r="R77" s="26">
        <f t="shared" si="9"/>
        <v>318961.41999999993</v>
      </c>
      <c r="S77" s="35">
        <f>127445</f>
        <v>127445</v>
      </c>
      <c r="T77" s="28">
        <f t="shared" si="10"/>
        <v>0.39956242983869344</v>
      </c>
      <c r="U77" s="113">
        <f>32000</f>
        <v>32000</v>
      </c>
      <c r="V77" s="28">
        <f t="shared" si="11"/>
        <v>0.10032561304749649</v>
      </c>
      <c r="W77" s="105">
        <v>32000</v>
      </c>
      <c r="X77" s="28">
        <f t="shared" si="12"/>
        <v>0.10032561304749649</v>
      </c>
    </row>
    <row r="78" spans="1:24" ht="72" hidden="1" customHeight="1">
      <c r="A78" s="22" t="s">
        <v>87</v>
      </c>
      <c r="B78" s="23" t="s">
        <v>88</v>
      </c>
      <c r="C78" s="23" t="s">
        <v>118</v>
      </c>
      <c r="D78" s="23" t="s">
        <v>121</v>
      </c>
      <c r="E78" s="33" t="s">
        <v>65</v>
      </c>
      <c r="F78" s="23" t="s">
        <v>122</v>
      </c>
      <c r="G78" s="23" t="s">
        <v>54</v>
      </c>
      <c r="H78" s="23" t="s">
        <v>94</v>
      </c>
      <c r="I78" s="23" t="s">
        <v>56</v>
      </c>
      <c r="J78" s="44">
        <v>4</v>
      </c>
      <c r="K78" s="34"/>
      <c r="L78" s="25"/>
      <c r="M78" s="25"/>
      <c r="N78" s="26">
        <f t="shared" si="8"/>
        <v>0</v>
      </c>
      <c r="O78" s="26"/>
      <c r="P78" s="26"/>
      <c r="Q78" s="26"/>
      <c r="R78" s="26">
        <f t="shared" si="9"/>
        <v>0</v>
      </c>
      <c r="S78" s="35"/>
      <c r="T78" s="28">
        <f t="shared" si="10"/>
        <v>0</v>
      </c>
      <c r="U78" s="46"/>
      <c r="V78" s="28">
        <f t="shared" si="11"/>
        <v>0</v>
      </c>
      <c r="W78" s="25"/>
      <c r="X78" s="28">
        <f t="shared" si="12"/>
        <v>0</v>
      </c>
    </row>
    <row r="79" spans="1:24" ht="72" customHeight="1">
      <c r="A79" s="22" t="s">
        <v>87</v>
      </c>
      <c r="B79" s="23" t="s">
        <v>88</v>
      </c>
      <c r="C79" s="23" t="s">
        <v>118</v>
      </c>
      <c r="D79" s="23" t="s">
        <v>121</v>
      </c>
      <c r="E79" s="33" t="s">
        <v>65</v>
      </c>
      <c r="F79" s="23" t="s">
        <v>122</v>
      </c>
      <c r="G79" s="23" t="s">
        <v>54</v>
      </c>
      <c r="H79" s="23" t="s">
        <v>94</v>
      </c>
      <c r="I79" s="23" t="s">
        <v>56</v>
      </c>
      <c r="J79" s="24">
        <v>3</v>
      </c>
      <c r="K79" s="108">
        <v>0</v>
      </c>
      <c r="L79" s="25">
        <f>33978008.44-L80</f>
        <v>2820158.4399999976</v>
      </c>
      <c r="M79" s="105">
        <v>0</v>
      </c>
      <c r="N79" s="26">
        <f t="shared" si="8"/>
        <v>2820158.4399999976</v>
      </c>
      <c r="O79" s="26"/>
      <c r="P79" s="26"/>
      <c r="Q79" s="26"/>
      <c r="R79" s="26">
        <f t="shared" si="9"/>
        <v>2820158.4399999976</v>
      </c>
      <c r="S79" s="35">
        <f>24697144.34-S80</f>
        <v>2540152.7799999975</v>
      </c>
      <c r="T79" s="28">
        <f t="shared" si="10"/>
        <v>0.90071279115793212</v>
      </c>
      <c r="U79" s="29">
        <f>23567646.89-U80</f>
        <v>1994155.3299999982</v>
      </c>
      <c r="V79" s="28">
        <f t="shared" si="11"/>
        <v>0.70710755173032047</v>
      </c>
      <c r="W79" s="25">
        <f>23218646.89-W80</f>
        <v>1994155.3299999982</v>
      </c>
      <c r="X79" s="28">
        <f t="shared" si="12"/>
        <v>0.70710755173032047</v>
      </c>
    </row>
    <row r="80" spans="1:24" ht="72" customHeight="1">
      <c r="A80" s="22" t="s">
        <v>87</v>
      </c>
      <c r="B80" s="23" t="s">
        <v>88</v>
      </c>
      <c r="C80" s="23" t="s">
        <v>118</v>
      </c>
      <c r="D80" s="23" t="s">
        <v>121</v>
      </c>
      <c r="E80" s="33" t="s">
        <v>65</v>
      </c>
      <c r="F80" s="23" t="s">
        <v>122</v>
      </c>
      <c r="G80" s="23" t="s">
        <v>54</v>
      </c>
      <c r="H80" s="23" t="s">
        <v>94</v>
      </c>
      <c r="I80" s="23" t="s">
        <v>56</v>
      </c>
      <c r="J80" s="44">
        <v>4</v>
      </c>
      <c r="K80" s="108">
        <f>0</f>
        <v>0</v>
      </c>
      <c r="L80" s="105">
        <f>8412760+22745090</f>
        <v>31157850</v>
      </c>
      <c r="M80" s="105">
        <v>6945402</v>
      </c>
      <c r="N80" s="26">
        <f t="shared" si="8"/>
        <v>24212448</v>
      </c>
      <c r="O80" s="26"/>
      <c r="P80" s="26"/>
      <c r="Q80" s="26"/>
      <c r="R80" s="26">
        <f t="shared" si="9"/>
        <v>24212448</v>
      </c>
      <c r="S80" s="35">
        <f>8410146+791800+1515833.56+7381212+4058000</f>
        <v>22156991.560000002</v>
      </c>
      <c r="T80" s="28">
        <f t="shared" si="10"/>
        <v>0.91510745051471054</v>
      </c>
      <c r="U80" s="46">
        <f>8410146+791800+932333.56+7381212+4058000</f>
        <v>21573491.560000002</v>
      </c>
      <c r="V80" s="28">
        <f t="shared" si="11"/>
        <v>0.89100827640393909</v>
      </c>
      <c r="W80" s="25">
        <f>8410146+791800+583333.56+7381212+4058000</f>
        <v>21224491.560000002</v>
      </c>
      <c r="X80" s="28">
        <f t="shared" si="12"/>
        <v>0.87659420311403469</v>
      </c>
    </row>
    <row r="81" spans="1:24" ht="63" customHeight="1">
      <c r="A81" s="22" t="s">
        <v>87</v>
      </c>
      <c r="B81" s="23" t="s">
        <v>88</v>
      </c>
      <c r="C81" s="23" t="s">
        <v>76</v>
      </c>
      <c r="D81" s="23" t="s">
        <v>77</v>
      </c>
      <c r="E81" s="33" t="s">
        <v>65</v>
      </c>
      <c r="F81" s="23" t="s">
        <v>123</v>
      </c>
      <c r="G81" s="23" t="s">
        <v>54</v>
      </c>
      <c r="H81" s="23" t="s">
        <v>92</v>
      </c>
      <c r="I81" s="23" t="s">
        <v>56</v>
      </c>
      <c r="J81" s="24">
        <v>3</v>
      </c>
      <c r="K81" s="108">
        <v>0</v>
      </c>
      <c r="L81" s="105">
        <v>1350000</v>
      </c>
      <c r="M81" s="105">
        <v>0</v>
      </c>
      <c r="N81" s="26">
        <f t="shared" si="8"/>
        <v>1350000</v>
      </c>
      <c r="O81" s="26"/>
      <c r="P81" s="26"/>
      <c r="Q81" s="26"/>
      <c r="R81" s="26">
        <f t="shared" si="9"/>
        <v>1350000</v>
      </c>
      <c r="S81" s="109">
        <v>1350000</v>
      </c>
      <c r="T81" s="28">
        <f t="shared" si="10"/>
        <v>1</v>
      </c>
      <c r="U81" s="106">
        <v>1350000</v>
      </c>
      <c r="V81" s="28">
        <f t="shared" si="11"/>
        <v>1</v>
      </c>
      <c r="W81" s="105">
        <v>1350000</v>
      </c>
      <c r="X81" s="28">
        <f t="shared" si="12"/>
        <v>1</v>
      </c>
    </row>
    <row r="82" spans="1:24" ht="63" customHeight="1">
      <c r="A82" s="22" t="s">
        <v>87</v>
      </c>
      <c r="B82" s="23" t="s">
        <v>88</v>
      </c>
      <c r="C82" s="23" t="s">
        <v>76</v>
      </c>
      <c r="D82" s="23" t="s">
        <v>77</v>
      </c>
      <c r="E82" s="33" t="s">
        <v>65</v>
      </c>
      <c r="F82" s="23" t="s">
        <v>123</v>
      </c>
      <c r="G82" s="23" t="s">
        <v>54</v>
      </c>
      <c r="H82" s="23" t="s">
        <v>112</v>
      </c>
      <c r="I82" s="23" t="s">
        <v>56</v>
      </c>
      <c r="J82" s="24">
        <v>3</v>
      </c>
      <c r="K82" s="108">
        <v>300000</v>
      </c>
      <c r="L82" s="105">
        <v>107241.5</v>
      </c>
      <c r="M82" s="105">
        <v>107241.5</v>
      </c>
      <c r="N82" s="26">
        <f t="shared" si="8"/>
        <v>300000</v>
      </c>
      <c r="O82" s="26"/>
      <c r="P82" s="26"/>
      <c r="Q82" s="26"/>
      <c r="R82" s="26">
        <f t="shared" si="9"/>
        <v>300000</v>
      </c>
      <c r="S82" s="109">
        <v>292600</v>
      </c>
      <c r="T82" s="28">
        <f t="shared" si="10"/>
        <v>0.97533333333333339</v>
      </c>
      <c r="U82" s="106">
        <v>274296.08</v>
      </c>
      <c r="V82" s="28">
        <f t="shared" si="11"/>
        <v>0.91432026666666677</v>
      </c>
      <c r="W82" s="105">
        <v>274199.28000000003</v>
      </c>
      <c r="X82" s="28">
        <f t="shared" si="12"/>
        <v>0.91399760000000008</v>
      </c>
    </row>
    <row r="83" spans="1:24" ht="63" customHeight="1">
      <c r="A83" s="123" t="s">
        <v>87</v>
      </c>
      <c r="B83" s="23" t="s">
        <v>88</v>
      </c>
      <c r="C83" s="23" t="s">
        <v>76</v>
      </c>
      <c r="D83" s="23" t="s">
        <v>77</v>
      </c>
      <c r="E83" s="33" t="s">
        <v>65</v>
      </c>
      <c r="F83" s="23" t="s">
        <v>123</v>
      </c>
      <c r="G83" s="23" t="s">
        <v>54</v>
      </c>
      <c r="H83" s="104" t="s">
        <v>94</v>
      </c>
      <c r="I83" s="23" t="s">
        <v>56</v>
      </c>
      <c r="J83" s="24">
        <v>3</v>
      </c>
      <c r="K83" s="108">
        <v>0</v>
      </c>
      <c r="L83" s="105">
        <v>396000</v>
      </c>
      <c r="M83" s="105">
        <v>0</v>
      </c>
      <c r="N83" s="26">
        <f t="shared" si="8"/>
        <v>396000</v>
      </c>
      <c r="O83" s="26"/>
      <c r="P83" s="26"/>
      <c r="Q83" s="26"/>
      <c r="R83" s="26">
        <f t="shared" si="9"/>
        <v>396000</v>
      </c>
      <c r="S83" s="109">
        <v>0</v>
      </c>
      <c r="T83" s="28">
        <f t="shared" si="10"/>
        <v>0</v>
      </c>
      <c r="U83" s="106">
        <v>0</v>
      </c>
      <c r="V83" s="28">
        <f t="shared" si="11"/>
        <v>0</v>
      </c>
      <c r="W83" s="105">
        <v>0</v>
      </c>
      <c r="X83" s="28">
        <f t="shared" si="12"/>
        <v>0</v>
      </c>
    </row>
    <row r="84" spans="1:24" ht="63" customHeight="1">
      <c r="A84" s="123" t="s">
        <v>87</v>
      </c>
      <c r="B84" s="23" t="s">
        <v>88</v>
      </c>
      <c r="C84" s="23" t="s">
        <v>76</v>
      </c>
      <c r="D84" s="23" t="s">
        <v>77</v>
      </c>
      <c r="E84" s="33" t="s">
        <v>65</v>
      </c>
      <c r="F84" s="23" t="s">
        <v>123</v>
      </c>
      <c r="G84" s="23" t="s">
        <v>54</v>
      </c>
      <c r="H84" s="23" t="s">
        <v>115</v>
      </c>
      <c r="I84" s="23" t="s">
        <v>56</v>
      </c>
      <c r="J84" s="24">
        <v>3</v>
      </c>
      <c r="K84" s="108">
        <v>0</v>
      </c>
      <c r="L84" s="105">
        <v>1159532.8999999999</v>
      </c>
      <c r="M84" s="105">
        <v>10000</v>
      </c>
      <c r="N84" s="26">
        <f t="shared" si="8"/>
        <v>1149532.8999999999</v>
      </c>
      <c r="O84" s="26"/>
      <c r="P84" s="26"/>
      <c r="Q84" s="26"/>
      <c r="R84" s="26">
        <f t="shared" si="9"/>
        <v>1149532.8999999999</v>
      </c>
      <c r="S84" s="109">
        <v>730604.16</v>
      </c>
      <c r="T84" s="28">
        <f t="shared" si="10"/>
        <v>0.63556611559355991</v>
      </c>
      <c r="U84" s="106">
        <v>675847.36</v>
      </c>
      <c r="V84" s="28">
        <f t="shared" si="11"/>
        <v>0.58793215922745667</v>
      </c>
      <c r="W84" s="105">
        <v>667898.4</v>
      </c>
      <c r="X84" s="28">
        <f t="shared" si="12"/>
        <v>0.5810172114256148</v>
      </c>
    </row>
    <row r="85" spans="1:24" ht="14.25" customHeight="1">
      <c r="A85" s="156" t="s">
        <v>124</v>
      </c>
      <c r="B85" s="142"/>
      <c r="C85" s="142"/>
      <c r="D85" s="142"/>
      <c r="E85" s="142"/>
      <c r="F85" s="142"/>
      <c r="G85" s="142"/>
      <c r="H85" s="142"/>
      <c r="I85" s="142"/>
      <c r="J85" s="143"/>
      <c r="K85" s="39">
        <f t="shared" ref="K85:S85" si="13">SUM(K33:K84)</f>
        <v>83793000</v>
      </c>
      <c r="L85" s="39">
        <f t="shared" si="13"/>
        <v>134307336.93000001</v>
      </c>
      <c r="M85" s="39">
        <f t="shared" si="13"/>
        <v>29857603.640000001</v>
      </c>
      <c r="N85" s="39">
        <f t="shared" si="13"/>
        <v>188242733.28999999</v>
      </c>
      <c r="O85" s="39">
        <f t="shared" si="13"/>
        <v>0</v>
      </c>
      <c r="P85" s="39">
        <f t="shared" si="13"/>
        <v>0</v>
      </c>
      <c r="Q85" s="39">
        <f t="shared" si="13"/>
        <v>0</v>
      </c>
      <c r="R85" s="39">
        <f t="shared" si="13"/>
        <v>188242733.28999999</v>
      </c>
      <c r="S85" s="39">
        <f t="shared" si="13"/>
        <v>149106752.53</v>
      </c>
      <c r="T85" s="40">
        <f t="shared" si="10"/>
        <v>0.79209831861233915</v>
      </c>
      <c r="U85" s="39">
        <f>SUM(U33:U84)</f>
        <v>136259466.58000001</v>
      </c>
      <c r="V85" s="40">
        <f t="shared" si="11"/>
        <v>0.72384980922521758</v>
      </c>
      <c r="W85" s="39">
        <f>SUM(W33:W84)</f>
        <v>135482057.91</v>
      </c>
      <c r="X85" s="40">
        <f t="shared" si="12"/>
        <v>0.71971998887883337</v>
      </c>
    </row>
    <row r="86" spans="1:24" ht="14.25" customHeight="1">
      <c r="A86" s="157" t="s">
        <v>125</v>
      </c>
      <c r="B86" s="142"/>
      <c r="C86" s="142"/>
      <c r="D86" s="142"/>
      <c r="E86" s="142"/>
      <c r="F86" s="142"/>
      <c r="G86" s="142"/>
      <c r="H86" s="142"/>
      <c r="I86" s="142"/>
      <c r="J86" s="143"/>
      <c r="K86" s="57">
        <f t="shared" ref="K86:S86" si="14">SUM(K30+K85)</f>
        <v>953062000</v>
      </c>
      <c r="L86" s="57">
        <f t="shared" si="14"/>
        <v>328650536.97000003</v>
      </c>
      <c r="M86" s="57">
        <f t="shared" si="14"/>
        <v>132200803.68000001</v>
      </c>
      <c r="N86" s="57">
        <f t="shared" si="14"/>
        <v>1149511733.29</v>
      </c>
      <c r="O86" s="57">
        <f t="shared" si="14"/>
        <v>0</v>
      </c>
      <c r="P86" s="57">
        <f t="shared" si="14"/>
        <v>0</v>
      </c>
      <c r="Q86" s="57">
        <f t="shared" si="14"/>
        <v>-29982237.359999999</v>
      </c>
      <c r="R86" s="57">
        <f t="shared" si="14"/>
        <v>1119529495.9300001</v>
      </c>
      <c r="S86" s="57">
        <f t="shared" si="14"/>
        <v>1076667794.7</v>
      </c>
      <c r="T86" s="58">
        <f t="shared" si="10"/>
        <v>0.961714540451304</v>
      </c>
      <c r="U86" s="57">
        <f>SUM(U30+U85)</f>
        <v>980283366.08999991</v>
      </c>
      <c r="V86" s="58">
        <f t="shared" si="11"/>
        <v>0.87562084755584979</v>
      </c>
      <c r="W86" s="57">
        <f>SUM(W30+W85)</f>
        <v>925691193.65999973</v>
      </c>
      <c r="X86" s="58">
        <f t="shared" si="12"/>
        <v>0.82685735125810356</v>
      </c>
    </row>
    <row r="87" spans="1:24" ht="14.25" customHeight="1">
      <c r="A87" s="59" t="s">
        <v>126</v>
      </c>
      <c r="B87" s="60"/>
      <c r="C87" s="60"/>
      <c r="D87" s="60"/>
      <c r="E87" s="60"/>
      <c r="F87" s="60"/>
      <c r="G87" s="60"/>
      <c r="H87" s="61"/>
      <c r="I87" s="61"/>
      <c r="J87" s="61"/>
      <c r="K87" s="60"/>
      <c r="L87" s="60"/>
      <c r="M87" s="62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59" t="s">
        <v>127</v>
      </c>
      <c r="B88" s="64"/>
      <c r="C88" s="60"/>
      <c r="D88" s="60"/>
      <c r="E88" s="60"/>
      <c r="F88" s="60"/>
      <c r="G88" s="60"/>
      <c r="H88" s="61"/>
      <c r="I88" s="61"/>
      <c r="J88" s="61"/>
      <c r="K88" s="60"/>
      <c r="L88" s="60"/>
      <c r="M88" s="62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158" t="s">
        <v>128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/>
    <row r="91" spans="1:24" ht="14.25" customHeight="1"/>
    <row r="92" spans="1:24" ht="14.25" customHeight="1"/>
    <row r="93" spans="1:24" ht="14.25" customHeight="1"/>
    <row r="94" spans="1:24" ht="14.25" customHeight="1"/>
    <row r="95" spans="1:24" ht="14.25" customHeight="1"/>
    <row r="96" spans="1:24" ht="15.75" customHeight="1">
      <c r="Q96" s="71" t="s">
        <v>34</v>
      </c>
      <c r="R96" s="71"/>
      <c r="S96" s="72"/>
      <c r="T96" s="71" t="s">
        <v>35</v>
      </c>
      <c r="U96" s="71"/>
      <c r="V96" s="66"/>
      <c r="W96" s="73" t="s">
        <v>129</v>
      </c>
    </row>
    <row r="97" spans="17:23" ht="14.25" customHeight="1">
      <c r="Q97" s="75">
        <v>1</v>
      </c>
      <c r="R97" s="116">
        <v>648751556.63</v>
      </c>
      <c r="S97" s="66"/>
      <c r="T97" s="77">
        <v>1</v>
      </c>
      <c r="U97" s="76">
        <f>U17+U18+U20+U21+U24+U25+U28</f>
        <v>725463055.39999998</v>
      </c>
      <c r="V97" s="66"/>
      <c r="W97" s="78">
        <f t="shared" ref="W97:W99" si="15">U97-R97</f>
        <v>76711498.769999981</v>
      </c>
    </row>
    <row r="98" spans="17:23" ht="14.25" customHeight="1">
      <c r="Q98" s="81">
        <v>3</v>
      </c>
      <c r="R98" s="117">
        <v>194677152.88</v>
      </c>
      <c r="S98" s="83"/>
      <c r="T98" s="84">
        <v>3</v>
      </c>
      <c r="U98" s="82">
        <f>U15+U16+U19+U22+U23+U26+U34+U37+U39+U46+U48+U50+U51+U56+U59+U60+U61+U62+U64+U67+U68+U69+U70+U71+U74+U76+U79+U81+U82+U83+U84</f>
        <v>220715437.52000001</v>
      </c>
      <c r="V98" s="85"/>
      <c r="W98" s="86">
        <f t="shared" si="15"/>
        <v>26038284.640000015</v>
      </c>
    </row>
    <row r="99" spans="17:23" ht="14.25" customHeight="1">
      <c r="Q99" s="87">
        <v>4</v>
      </c>
      <c r="R99" s="118">
        <v>14621816.529999999</v>
      </c>
      <c r="S99" s="83"/>
      <c r="T99" s="89">
        <v>4</v>
      </c>
      <c r="U99" s="88">
        <f>U33+U36+U38+U40+U41+U42+U43+U44+U45+U47+U49+U52+U53+U54+U55+U57+U58+U63+U65+U72+U75+U77+U80</f>
        <v>34104873.170000002</v>
      </c>
      <c r="V99" s="90"/>
      <c r="W99" s="91">
        <f t="shared" si="15"/>
        <v>19483056.640000001</v>
      </c>
    </row>
    <row r="100" spans="17:23" ht="14.25" customHeight="1">
      <c r="Q100" s="152" t="s">
        <v>131</v>
      </c>
      <c r="R100" s="143"/>
      <c r="S100" s="63"/>
      <c r="T100" s="153" t="s">
        <v>132</v>
      </c>
      <c r="U100" s="143"/>
      <c r="V100" s="90"/>
      <c r="W100" s="85"/>
    </row>
    <row r="101" spans="17:23" ht="14.25" customHeight="1">
      <c r="Q101" s="74"/>
      <c r="R101" s="74"/>
      <c r="S101" s="74"/>
      <c r="T101" s="13"/>
      <c r="U101" s="85"/>
      <c r="V101" s="90"/>
      <c r="W101" s="5"/>
    </row>
    <row r="102" spans="17:23" ht="14.25" customHeight="1">
      <c r="Q102" s="80"/>
      <c r="R102" s="80"/>
      <c r="S102" s="80"/>
      <c r="T102" s="93" t="s">
        <v>136</v>
      </c>
      <c r="U102" s="94">
        <f>SUM(U97:U99)</f>
        <v>980283366.08999991</v>
      </c>
      <c r="V102" s="5"/>
      <c r="W102" s="68">
        <f>SUM(W97:W101)</f>
        <v>122232840.05</v>
      </c>
    </row>
    <row r="103" spans="17:23" ht="14.25" customHeight="1">
      <c r="Q103" s="5"/>
      <c r="R103" s="98"/>
      <c r="S103" s="5"/>
      <c r="T103" s="5"/>
      <c r="U103" s="5"/>
      <c r="V103" s="5"/>
      <c r="W103" s="5"/>
    </row>
    <row r="104" spans="17:23" ht="14.25" customHeight="1">
      <c r="Q104" s="5"/>
      <c r="R104" s="98"/>
      <c r="S104" s="5"/>
      <c r="T104" s="5"/>
      <c r="U104" s="5"/>
      <c r="V104" s="5"/>
      <c r="W104" s="5"/>
    </row>
    <row r="105" spans="17:23" ht="14.25" customHeight="1">
      <c r="Q105" s="5"/>
      <c r="R105" s="98"/>
      <c r="S105" s="5"/>
      <c r="T105" s="101" t="s">
        <v>139</v>
      </c>
      <c r="U105" s="102">
        <f>U15+U16+U19+U22+U23+U26</f>
        <v>118560844.11</v>
      </c>
      <c r="V105" s="5"/>
      <c r="W105" s="68"/>
    </row>
    <row r="106" spans="17:23" ht="14.25" customHeight="1">
      <c r="Q106" s="5"/>
      <c r="R106" s="5"/>
      <c r="S106" s="5"/>
      <c r="T106" s="101" t="s">
        <v>140</v>
      </c>
      <c r="U106" s="102" t="e">
        <f>#REF!+U45+U51+U52+#REF!+U59+U61+U62+U63+U66</f>
        <v>#REF!</v>
      </c>
      <c r="V106" s="68"/>
      <c r="W106" s="68"/>
    </row>
    <row r="107" spans="17:23" ht="14.25" customHeight="1">
      <c r="Q107" s="5"/>
      <c r="R107" s="5"/>
      <c r="S107" s="5"/>
      <c r="T107" s="101" t="s">
        <v>136</v>
      </c>
      <c r="U107" s="102" t="e">
        <f>U105+U106</f>
        <v>#REF!</v>
      </c>
      <c r="V107" s="68"/>
      <c r="W107" s="121"/>
    </row>
    <row r="108" spans="17:23" ht="14.25" customHeight="1">
      <c r="Q108" s="5"/>
      <c r="R108" s="5"/>
      <c r="S108" s="5"/>
      <c r="T108" s="5"/>
      <c r="U108" s="5"/>
      <c r="V108" s="5"/>
      <c r="W108" s="133"/>
    </row>
    <row r="109" spans="17:23" ht="14.25" customHeight="1"/>
    <row r="110" spans="17:23" ht="14.25" customHeight="1"/>
    <row r="111" spans="17:23" ht="14.25" customHeight="1"/>
    <row r="112" spans="17:23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8">
    <mergeCell ref="T100:U100"/>
    <mergeCell ref="A12:J12"/>
    <mergeCell ref="A13:B13"/>
    <mergeCell ref="C13:C14"/>
    <mergeCell ref="D13:D14"/>
    <mergeCell ref="E13:F13"/>
    <mergeCell ref="G13:G14"/>
    <mergeCell ref="H13:I13"/>
    <mergeCell ref="A30:J30"/>
    <mergeCell ref="A85:J85"/>
    <mergeCell ref="A86:J86"/>
    <mergeCell ref="A89:M89"/>
    <mergeCell ref="Q100:R100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A1:C1"/>
    <mergeCell ref="A2:C2"/>
    <mergeCell ref="A3:E3"/>
    <mergeCell ref="A4:E4"/>
    <mergeCell ref="A6:E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82"/>
  <sheetViews>
    <sheetView workbookViewId="0"/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41" t="s">
        <v>0</v>
      </c>
      <c r="B1" s="142"/>
      <c r="C1" s="142"/>
      <c r="D1" s="142"/>
      <c r="E1" s="142"/>
      <c r="F1" s="14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4" t="s">
        <v>1</v>
      </c>
      <c r="B2" s="145"/>
      <c r="C2" s="145"/>
      <c r="D2" s="145"/>
      <c r="E2" s="145"/>
      <c r="F2" s="14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4" t="s">
        <v>2</v>
      </c>
      <c r="B3" s="145"/>
      <c r="C3" s="145"/>
      <c r="D3" s="145"/>
      <c r="E3" s="145"/>
      <c r="F3" s="14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41" t="s">
        <v>145</v>
      </c>
      <c r="B4" s="142"/>
      <c r="C4" s="142"/>
      <c r="D4" s="142"/>
      <c r="E4" s="142"/>
      <c r="F4" s="14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41" t="s">
        <v>176</v>
      </c>
      <c r="B6" s="142"/>
      <c r="C6" s="142"/>
      <c r="D6" s="142"/>
      <c r="E6" s="142"/>
      <c r="F6" s="14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44" t="s">
        <v>177</v>
      </c>
      <c r="B7" s="145"/>
      <c r="C7" s="145"/>
      <c r="D7" s="145"/>
      <c r="E7" s="145"/>
      <c r="F7" s="146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41" t="s">
        <v>178</v>
      </c>
      <c r="B8" s="142"/>
      <c r="C8" s="142"/>
      <c r="D8" s="142"/>
      <c r="E8" s="142"/>
      <c r="F8" s="143"/>
      <c r="G8" s="1"/>
      <c r="H8" s="2"/>
      <c r="I8" s="2"/>
      <c r="J8" s="119"/>
      <c r="K8" s="1"/>
      <c r="L8" s="1"/>
      <c r="M8" s="1"/>
      <c r="N8" s="1"/>
      <c r="O8" s="1"/>
      <c r="P8" s="1"/>
      <c r="Q8" s="1"/>
      <c r="R8" s="1"/>
      <c r="S8" s="1"/>
      <c r="T8" s="1"/>
      <c r="U8" s="120"/>
      <c r="V8" s="5"/>
      <c r="W8" s="5"/>
      <c r="X8" s="5"/>
      <c r="Y8" s="5"/>
      <c r="Z8" s="5"/>
      <c r="AA8" s="5"/>
    </row>
    <row r="9" spans="1:27" ht="14.25" customHeight="1">
      <c r="A9" s="147" t="s">
        <v>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4.25" customHeight="1">
      <c r="A11" s="151" t="s">
        <v>8</v>
      </c>
      <c r="B11" s="142"/>
      <c r="C11" s="142"/>
      <c r="D11" s="142"/>
      <c r="E11" s="142"/>
      <c r="F11" s="142"/>
      <c r="G11" s="142"/>
      <c r="H11" s="142"/>
      <c r="I11" s="142"/>
      <c r="J11" s="143"/>
      <c r="K11" s="149" t="s">
        <v>9</v>
      </c>
      <c r="L11" s="151" t="s">
        <v>10</v>
      </c>
      <c r="M11" s="143"/>
      <c r="N11" s="149" t="s">
        <v>11</v>
      </c>
      <c r="O11" s="149" t="s">
        <v>12</v>
      </c>
      <c r="P11" s="151" t="s">
        <v>13</v>
      </c>
      <c r="Q11" s="143"/>
      <c r="R11" s="149" t="s">
        <v>14</v>
      </c>
      <c r="S11" s="151" t="s">
        <v>15</v>
      </c>
      <c r="T11" s="142"/>
      <c r="U11" s="142"/>
      <c r="V11" s="142"/>
      <c r="W11" s="142"/>
      <c r="X11" s="143"/>
      <c r="Y11" s="5"/>
      <c r="Z11" s="5"/>
      <c r="AA11" s="5"/>
    </row>
    <row r="12" spans="1:27" ht="14.25" customHeight="1">
      <c r="A12" s="151" t="s">
        <v>16</v>
      </c>
      <c r="B12" s="143"/>
      <c r="C12" s="149" t="s">
        <v>17</v>
      </c>
      <c r="D12" s="149" t="s">
        <v>18</v>
      </c>
      <c r="E12" s="151" t="s">
        <v>19</v>
      </c>
      <c r="F12" s="143"/>
      <c r="G12" s="149" t="s">
        <v>20</v>
      </c>
      <c r="H12" s="151" t="s">
        <v>21</v>
      </c>
      <c r="I12" s="143"/>
      <c r="J12" s="154" t="s">
        <v>22</v>
      </c>
      <c r="K12" s="150"/>
      <c r="L12" s="14" t="s">
        <v>23</v>
      </c>
      <c r="M12" s="14" t="s">
        <v>24</v>
      </c>
      <c r="N12" s="150"/>
      <c r="O12" s="150"/>
      <c r="P12" s="15" t="s">
        <v>25</v>
      </c>
      <c r="Q12" s="15" t="s">
        <v>26</v>
      </c>
      <c r="R12" s="150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50"/>
      <c r="D13" s="150"/>
      <c r="E13" s="15" t="s">
        <v>32</v>
      </c>
      <c r="F13" s="15" t="s">
        <v>33</v>
      </c>
      <c r="G13" s="150"/>
      <c r="H13" s="15" t="s">
        <v>31</v>
      </c>
      <c r="I13" s="15" t="s">
        <v>19</v>
      </c>
      <c r="J13" s="150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179</v>
      </c>
      <c r="G14" s="33" t="s">
        <v>54</v>
      </c>
      <c r="H14" s="114" t="s">
        <v>148</v>
      </c>
      <c r="I14" s="114" t="s">
        <v>157</v>
      </c>
      <c r="J14" s="124">
        <v>3</v>
      </c>
      <c r="K14" s="109">
        <v>100000</v>
      </c>
      <c r="L14" s="105">
        <v>0</v>
      </c>
      <c r="M14" s="105">
        <v>0</v>
      </c>
      <c r="N14" s="26">
        <f t="shared" ref="N14:N26" si="0">K14+L14-M14</f>
        <v>100000</v>
      </c>
      <c r="O14" s="27"/>
      <c r="P14" s="27"/>
      <c r="Q14" s="27"/>
      <c r="R14" s="26">
        <f t="shared" ref="R14:R26" si="1">N14-O14+P14+Q14</f>
        <v>100000</v>
      </c>
      <c r="S14" s="105">
        <v>0</v>
      </c>
      <c r="T14" s="28">
        <f t="shared" ref="T14:T27" si="2">IF(R14&gt;0,S14/R14,0)</f>
        <v>0</v>
      </c>
      <c r="U14" s="111">
        <v>0</v>
      </c>
      <c r="V14" s="28">
        <f t="shared" ref="V14:V27" si="3">IF(R14&gt;0,U14/R14,0)</f>
        <v>0</v>
      </c>
      <c r="W14" s="105">
        <v>0</v>
      </c>
      <c r="X14" s="28">
        <f t="shared" ref="X14:X27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157</v>
      </c>
      <c r="J15" s="124">
        <v>3</v>
      </c>
      <c r="K15" s="109">
        <v>77675500</v>
      </c>
      <c r="L15" s="105">
        <v>0</v>
      </c>
      <c r="M15" s="105">
        <v>0</v>
      </c>
      <c r="N15" s="26">
        <f t="shared" si="0"/>
        <v>77675500</v>
      </c>
      <c r="O15" s="127" t="s">
        <v>170</v>
      </c>
      <c r="P15" s="27"/>
      <c r="Q15" s="27"/>
      <c r="R15" s="26" t="e">
        <f t="shared" si="1"/>
        <v>#VALUE!</v>
      </c>
      <c r="S15" s="105">
        <v>6867634.5099999998</v>
      </c>
      <c r="T15" s="28" t="e">
        <f t="shared" si="2"/>
        <v>#VALUE!</v>
      </c>
      <c r="U15" s="111">
        <v>6867634.5099999998</v>
      </c>
      <c r="V15" s="28" t="e">
        <f t="shared" si="3"/>
        <v>#VALUE!</v>
      </c>
      <c r="W15" s="105">
        <v>6867634.5099999998</v>
      </c>
      <c r="X15" s="28" t="e">
        <f t="shared" si="4"/>
        <v>#VALUE!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157</v>
      </c>
      <c r="J16" s="31">
        <v>1</v>
      </c>
      <c r="K16" s="109">
        <v>470000000</v>
      </c>
      <c r="L16" s="105">
        <v>1281127.3999999999</v>
      </c>
      <c r="M16" s="105">
        <v>1281127.3999999999</v>
      </c>
      <c r="N16" s="26">
        <f t="shared" si="0"/>
        <v>470000000</v>
      </c>
      <c r="O16" s="27"/>
      <c r="P16" s="27"/>
      <c r="Q16" s="27"/>
      <c r="R16" s="26">
        <f t="shared" si="1"/>
        <v>470000000</v>
      </c>
      <c r="S16" s="105">
        <v>40060378.799999997</v>
      </c>
      <c r="T16" s="28">
        <f t="shared" si="2"/>
        <v>8.5234848510638297E-2</v>
      </c>
      <c r="U16" s="107">
        <v>40060378.799999997</v>
      </c>
      <c r="V16" s="28">
        <f t="shared" si="3"/>
        <v>8.5234848510638297E-2</v>
      </c>
      <c r="W16" s="105">
        <v>39392414.039999999</v>
      </c>
      <c r="X16" s="28">
        <f t="shared" si="4"/>
        <v>8.3813646893617019E-2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64</v>
      </c>
      <c r="E17" s="33" t="s">
        <v>65</v>
      </c>
      <c r="F17" s="33" t="s">
        <v>66</v>
      </c>
      <c r="G17" s="33" t="s">
        <v>54</v>
      </c>
      <c r="H17" s="114" t="s">
        <v>148</v>
      </c>
      <c r="I17" s="114" t="s">
        <v>157</v>
      </c>
      <c r="J17" s="124">
        <v>3</v>
      </c>
      <c r="K17" s="109">
        <v>22575500</v>
      </c>
      <c r="L17" s="105">
        <v>0</v>
      </c>
      <c r="M17" s="105">
        <v>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105">
        <v>1996118.1</v>
      </c>
      <c r="T17" s="28">
        <f t="shared" si="2"/>
        <v>8.8419662908905683E-2</v>
      </c>
      <c r="U17" s="111">
        <v>1996118.1</v>
      </c>
      <c r="V17" s="28">
        <f t="shared" si="3"/>
        <v>8.8419662908905683E-2</v>
      </c>
      <c r="W17" s="105">
        <v>1996118.1</v>
      </c>
      <c r="X17" s="28">
        <f t="shared" si="4"/>
        <v>8.8419662908905683E-2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114" t="s">
        <v>113</v>
      </c>
      <c r="E18" s="33" t="s">
        <v>65</v>
      </c>
      <c r="F18" s="114" t="s">
        <v>180</v>
      </c>
      <c r="G18" s="33" t="s">
        <v>54</v>
      </c>
      <c r="H18" s="114" t="s">
        <v>148</v>
      </c>
      <c r="I18" s="114" t="s">
        <v>157</v>
      </c>
      <c r="J18" s="124">
        <v>3</v>
      </c>
      <c r="K18" s="109">
        <v>50000</v>
      </c>
      <c r="L18" s="105">
        <v>0</v>
      </c>
      <c r="M18" s="105">
        <v>0</v>
      </c>
      <c r="N18" s="26">
        <f t="shared" si="0"/>
        <v>50000</v>
      </c>
      <c r="O18" s="27"/>
      <c r="P18" s="27"/>
      <c r="Q18" s="27"/>
      <c r="R18" s="26">
        <f t="shared" si="1"/>
        <v>50000</v>
      </c>
      <c r="S18" s="105">
        <v>0</v>
      </c>
      <c r="T18" s="28">
        <f t="shared" si="2"/>
        <v>0</v>
      </c>
      <c r="U18" s="111">
        <v>0</v>
      </c>
      <c r="V18" s="28">
        <f t="shared" si="3"/>
        <v>0</v>
      </c>
      <c r="W18" s="105">
        <v>0</v>
      </c>
      <c r="X18" s="2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67</v>
      </c>
      <c r="E19" s="33" t="s">
        <v>65</v>
      </c>
      <c r="F19" s="114" t="s">
        <v>158</v>
      </c>
      <c r="G19" s="33" t="s">
        <v>54</v>
      </c>
      <c r="H19" s="114" t="s">
        <v>148</v>
      </c>
      <c r="I19" s="114" t="s">
        <v>157</v>
      </c>
      <c r="J19" s="31">
        <v>1</v>
      </c>
      <c r="K19" s="109">
        <v>123000000</v>
      </c>
      <c r="L19" s="105">
        <v>730076.61</v>
      </c>
      <c r="M19" s="105">
        <v>730076.61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105">
        <v>10851071.640000001</v>
      </c>
      <c r="T19" s="28">
        <f t="shared" si="2"/>
        <v>8.8220094634146345E-2</v>
      </c>
      <c r="U19" s="107">
        <v>10851071.640000001</v>
      </c>
      <c r="V19" s="28">
        <f t="shared" si="3"/>
        <v>8.8220094634146345E-2</v>
      </c>
      <c r="W19" s="105">
        <v>10324810.83</v>
      </c>
      <c r="X19" s="28">
        <f t="shared" si="4"/>
        <v>8.3941551463414629E-2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33" t="s">
        <v>69</v>
      </c>
      <c r="E20" s="33" t="s">
        <v>65</v>
      </c>
      <c r="F20" s="33" t="s">
        <v>70</v>
      </c>
      <c r="G20" s="33" t="s">
        <v>54</v>
      </c>
      <c r="H20" s="114" t="s">
        <v>148</v>
      </c>
      <c r="I20" s="114" t="s">
        <v>157</v>
      </c>
      <c r="J20" s="31">
        <v>1</v>
      </c>
      <c r="K20" s="109">
        <v>151000000</v>
      </c>
      <c r="L20" s="105">
        <v>170447.04</v>
      </c>
      <c r="M20" s="105">
        <v>170447.04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105">
        <v>13324204.1</v>
      </c>
      <c r="T20" s="28">
        <f t="shared" si="2"/>
        <v>8.8239762251655626E-2</v>
      </c>
      <c r="U20" s="107">
        <v>13324204.1</v>
      </c>
      <c r="V20" s="28">
        <f t="shared" si="3"/>
        <v>8.8239762251655626E-2</v>
      </c>
      <c r="W20" s="105">
        <v>12903704.550000001</v>
      </c>
      <c r="X20" s="28">
        <f t="shared" si="4"/>
        <v>8.5454997019867557E-2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71</v>
      </c>
      <c r="E21" s="33" t="s">
        <v>65</v>
      </c>
      <c r="F21" s="33" t="s">
        <v>72</v>
      </c>
      <c r="G21" s="33" t="s">
        <v>54</v>
      </c>
      <c r="H21" s="114" t="s">
        <v>148</v>
      </c>
      <c r="I21" s="114" t="s">
        <v>157</v>
      </c>
      <c r="J21" s="124">
        <v>3</v>
      </c>
      <c r="K21" s="109">
        <v>25475500</v>
      </c>
      <c r="L21" s="105">
        <v>0</v>
      </c>
      <c r="M21" s="10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105">
        <v>2197393.2599999998</v>
      </c>
      <c r="T21" s="28">
        <f t="shared" si="2"/>
        <v>8.6255157308001804E-2</v>
      </c>
      <c r="U21" s="111">
        <v>2197393.2599999998</v>
      </c>
      <c r="V21" s="28">
        <f t="shared" si="3"/>
        <v>8.6255157308001804E-2</v>
      </c>
      <c r="W21" s="105">
        <v>2197393.2599999998</v>
      </c>
      <c r="X21" s="28">
        <f t="shared" si="4"/>
        <v>8.6255157308001804E-2</v>
      </c>
      <c r="Y21" s="5"/>
      <c r="Z21" s="5"/>
      <c r="AA21" s="5"/>
    </row>
    <row r="22" spans="1:27" ht="63" customHeight="1">
      <c r="A22" s="22" t="s">
        <v>48</v>
      </c>
      <c r="B22" s="33" t="s">
        <v>49</v>
      </c>
      <c r="C22" s="33" t="s">
        <v>76</v>
      </c>
      <c r="D22" s="33" t="s">
        <v>77</v>
      </c>
      <c r="E22" s="33" t="s">
        <v>65</v>
      </c>
      <c r="F22" s="33" t="s">
        <v>78</v>
      </c>
      <c r="G22" s="33" t="s">
        <v>54</v>
      </c>
      <c r="H22" s="114" t="s">
        <v>148</v>
      </c>
      <c r="I22" s="114" t="s">
        <v>157</v>
      </c>
      <c r="J22" s="31">
        <v>1</v>
      </c>
      <c r="K22" s="108">
        <v>300000</v>
      </c>
      <c r="L22" s="105">
        <v>0</v>
      </c>
      <c r="M22" s="105">
        <v>0</v>
      </c>
      <c r="N22" s="26">
        <f t="shared" si="0"/>
        <v>300000</v>
      </c>
      <c r="O22" s="26"/>
      <c r="P22" s="26"/>
      <c r="Q22" s="26"/>
      <c r="R22" s="26">
        <f t="shared" si="1"/>
        <v>300000</v>
      </c>
      <c r="S22" s="109">
        <v>46885</v>
      </c>
      <c r="T22" s="28">
        <f t="shared" si="2"/>
        <v>0.15628333333333333</v>
      </c>
      <c r="U22" s="107">
        <v>46885</v>
      </c>
      <c r="V22" s="28">
        <f t="shared" si="3"/>
        <v>0.15628333333333333</v>
      </c>
      <c r="W22" s="105">
        <v>46885</v>
      </c>
      <c r="X22" s="28">
        <f t="shared" si="4"/>
        <v>0.15628333333333333</v>
      </c>
      <c r="Y22" s="5"/>
      <c r="Z22" s="5"/>
      <c r="AA22" s="5"/>
    </row>
    <row r="23" spans="1:27" ht="63" customHeight="1">
      <c r="A23" s="123" t="s">
        <v>48</v>
      </c>
      <c r="B23" s="114" t="s">
        <v>49</v>
      </c>
      <c r="C23" s="114" t="s">
        <v>76</v>
      </c>
      <c r="D23" s="114" t="s">
        <v>61</v>
      </c>
      <c r="E23" s="33" t="s">
        <v>65</v>
      </c>
      <c r="F23" s="114" t="s">
        <v>181</v>
      </c>
      <c r="G23" s="114" t="s">
        <v>54</v>
      </c>
      <c r="H23" s="114" t="s">
        <v>148</v>
      </c>
      <c r="I23" s="114" t="s">
        <v>157</v>
      </c>
      <c r="J23" s="134">
        <v>1</v>
      </c>
      <c r="K23" s="108">
        <v>300000</v>
      </c>
      <c r="L23" s="105">
        <v>0</v>
      </c>
      <c r="M23" s="105">
        <v>0</v>
      </c>
      <c r="N23" s="26">
        <f t="shared" si="0"/>
        <v>300000</v>
      </c>
      <c r="O23" s="26"/>
      <c r="P23" s="26"/>
      <c r="Q23" s="26"/>
      <c r="R23" s="26">
        <f t="shared" si="1"/>
        <v>300000</v>
      </c>
      <c r="S23" s="109">
        <v>46585</v>
      </c>
      <c r="T23" s="28">
        <f t="shared" si="2"/>
        <v>0.15528333333333333</v>
      </c>
      <c r="U23" s="107">
        <v>46585</v>
      </c>
      <c r="V23" s="28">
        <f t="shared" si="3"/>
        <v>0.15528333333333333</v>
      </c>
      <c r="W23" s="105">
        <v>46585</v>
      </c>
      <c r="X23" s="28">
        <f t="shared" si="4"/>
        <v>0.15528333333333333</v>
      </c>
      <c r="Y23" s="5"/>
      <c r="Z23" s="5"/>
      <c r="AA23" s="5"/>
    </row>
    <row r="24" spans="1:27" ht="63" customHeight="1">
      <c r="A24" s="22" t="s">
        <v>48</v>
      </c>
      <c r="B24" s="33" t="s">
        <v>49</v>
      </c>
      <c r="C24" s="33" t="s">
        <v>79</v>
      </c>
      <c r="D24" s="33" t="s">
        <v>80</v>
      </c>
      <c r="E24" s="114" t="s">
        <v>159</v>
      </c>
      <c r="F24" s="33" t="s">
        <v>81</v>
      </c>
      <c r="G24" s="114" t="s">
        <v>160</v>
      </c>
      <c r="H24" s="114" t="s">
        <v>148</v>
      </c>
      <c r="I24" s="114" t="s">
        <v>157</v>
      </c>
      <c r="J24" s="31">
        <v>1</v>
      </c>
      <c r="K24" s="109">
        <f>153539737-K25</f>
        <v>147464237</v>
      </c>
      <c r="L24" s="105">
        <v>3847203.53</v>
      </c>
      <c r="M24" s="105">
        <v>3847203.53</v>
      </c>
      <c r="N24" s="26">
        <f t="shared" si="0"/>
        <v>147464237</v>
      </c>
      <c r="O24" s="26"/>
      <c r="P24" s="26"/>
      <c r="Q24" s="26"/>
      <c r="R24" s="26">
        <f t="shared" si="1"/>
        <v>147464237</v>
      </c>
      <c r="S24" s="105">
        <f>6793057.24-S25</f>
        <v>6321538.8399999999</v>
      </c>
      <c r="T24" s="28">
        <f t="shared" si="2"/>
        <v>4.2868284328491116E-2</v>
      </c>
      <c r="U24" s="107">
        <f>6793057.24-U25</f>
        <v>6321538.8399999999</v>
      </c>
      <c r="V24" s="28">
        <f t="shared" si="3"/>
        <v>4.2868284328491116E-2</v>
      </c>
      <c r="W24" s="105">
        <f>6793057.24-W25</f>
        <v>6321538.8399999999</v>
      </c>
      <c r="X24" s="28">
        <f t="shared" si="4"/>
        <v>4.2868284328491116E-2</v>
      </c>
      <c r="Y24" s="5"/>
      <c r="Z24" s="5"/>
      <c r="AA24" s="5"/>
    </row>
    <row r="25" spans="1:27" ht="63" customHeight="1">
      <c r="A25" s="22" t="s">
        <v>48</v>
      </c>
      <c r="B25" s="33" t="s">
        <v>49</v>
      </c>
      <c r="C25" s="33" t="s">
        <v>79</v>
      </c>
      <c r="D25" s="33" t="s">
        <v>80</v>
      </c>
      <c r="E25" s="114" t="s">
        <v>159</v>
      </c>
      <c r="F25" s="33" t="s">
        <v>81</v>
      </c>
      <c r="G25" s="114" t="s">
        <v>160</v>
      </c>
      <c r="H25" s="114" t="s">
        <v>148</v>
      </c>
      <c r="I25" s="114" t="s">
        <v>157</v>
      </c>
      <c r="J25" s="124">
        <v>3</v>
      </c>
      <c r="K25" s="109">
        <v>6075500</v>
      </c>
      <c r="L25" s="105">
        <v>0</v>
      </c>
      <c r="M25" s="105">
        <v>0</v>
      </c>
      <c r="N25" s="26">
        <f t="shared" si="0"/>
        <v>6075500</v>
      </c>
      <c r="O25" s="26"/>
      <c r="P25" s="26"/>
      <c r="Q25" s="122"/>
      <c r="R25" s="26">
        <f t="shared" si="1"/>
        <v>6075500</v>
      </c>
      <c r="S25" s="105">
        <v>471518.4</v>
      </c>
      <c r="T25" s="28">
        <f t="shared" si="2"/>
        <v>7.7609809892189949E-2</v>
      </c>
      <c r="U25" s="111">
        <v>471518.4</v>
      </c>
      <c r="V25" s="28">
        <f t="shared" si="3"/>
        <v>7.7609809892189949E-2</v>
      </c>
      <c r="W25" s="105">
        <v>471518.4</v>
      </c>
      <c r="X25" s="28">
        <f t="shared" si="4"/>
        <v>7.7609809892189949E-2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83</v>
      </c>
      <c r="D26" s="23" t="s">
        <v>84</v>
      </c>
      <c r="E26" s="104" t="s">
        <v>161</v>
      </c>
      <c r="F26" s="23" t="s">
        <v>85</v>
      </c>
      <c r="G26" s="23" t="s">
        <v>54</v>
      </c>
      <c r="H26" s="104" t="s">
        <v>148</v>
      </c>
      <c r="I26" s="114" t="s">
        <v>157</v>
      </c>
      <c r="J26" s="31">
        <v>1</v>
      </c>
      <c r="K26" s="105">
        <v>152763</v>
      </c>
      <c r="L26" s="105">
        <v>0</v>
      </c>
      <c r="M26" s="105">
        <v>0</v>
      </c>
      <c r="N26" s="26">
        <f t="shared" si="0"/>
        <v>152763</v>
      </c>
      <c r="O26" s="26"/>
      <c r="P26" s="26"/>
      <c r="Q26" s="26"/>
      <c r="R26" s="26">
        <f t="shared" si="1"/>
        <v>152763</v>
      </c>
      <c r="S26" s="105">
        <v>0</v>
      </c>
      <c r="T26" s="28">
        <f t="shared" si="2"/>
        <v>0</v>
      </c>
      <c r="U26" s="107">
        <v>0</v>
      </c>
      <c r="V26" s="28">
        <f t="shared" si="3"/>
        <v>0</v>
      </c>
      <c r="W26" s="105">
        <v>0</v>
      </c>
      <c r="X26" s="28">
        <f t="shared" si="4"/>
        <v>0</v>
      </c>
      <c r="Y26" s="5"/>
      <c r="Z26" s="5"/>
      <c r="AA26" s="5"/>
    </row>
    <row r="27" spans="1:27" ht="16.5" customHeight="1">
      <c r="A27" s="155" t="s">
        <v>86</v>
      </c>
      <c r="B27" s="142"/>
      <c r="C27" s="142"/>
      <c r="D27" s="142"/>
      <c r="E27" s="142"/>
      <c r="F27" s="142"/>
      <c r="G27" s="142"/>
      <c r="H27" s="142"/>
      <c r="I27" s="142"/>
      <c r="J27" s="143"/>
      <c r="K27" s="39">
        <f t="shared" ref="K27:S27" si="5">SUM(K14:K26)</f>
        <v>1024169000</v>
      </c>
      <c r="L27" s="39">
        <f t="shared" si="5"/>
        <v>6028854.5800000001</v>
      </c>
      <c r="M27" s="39">
        <f t="shared" si="5"/>
        <v>6028854.5800000001</v>
      </c>
      <c r="N27" s="39">
        <f t="shared" si="5"/>
        <v>1024169000</v>
      </c>
      <c r="O27" s="39">
        <f t="shared" si="5"/>
        <v>0</v>
      </c>
      <c r="P27" s="39">
        <f t="shared" si="5"/>
        <v>0</v>
      </c>
      <c r="Q27" s="39">
        <f t="shared" si="5"/>
        <v>0</v>
      </c>
      <c r="R27" s="39" t="e">
        <f t="shared" si="5"/>
        <v>#VALUE!</v>
      </c>
      <c r="S27" s="39">
        <f t="shared" si="5"/>
        <v>82183327.650000006</v>
      </c>
      <c r="T27" s="40" t="e">
        <f t="shared" si="2"/>
        <v>#VALUE!</v>
      </c>
      <c r="U27" s="39">
        <f>SUM(U14:U26)</f>
        <v>82183327.650000006</v>
      </c>
      <c r="V27" s="40" t="e">
        <f t="shared" si="3"/>
        <v>#VALUE!</v>
      </c>
      <c r="W27" s="39">
        <f>SUM(W14:W26)</f>
        <v>80568602.530000016</v>
      </c>
      <c r="X27" s="40" t="e">
        <f t="shared" si="4"/>
        <v>#VALUE!</v>
      </c>
      <c r="Y27" s="5"/>
      <c r="Z27" s="5"/>
      <c r="AA27" s="5"/>
    </row>
    <row r="28" spans="1:27" ht="1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39"/>
      <c r="V28" s="40"/>
      <c r="W28" s="39"/>
      <c r="X28" s="40"/>
      <c r="Y28" s="5"/>
      <c r="Z28" s="5"/>
      <c r="AA28" s="5"/>
    </row>
    <row r="29" spans="1:27" ht="1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38"/>
      <c r="U29" s="43"/>
      <c r="V29" s="38"/>
      <c r="W29" s="43"/>
      <c r="X29" s="38"/>
      <c r="Y29" s="5"/>
      <c r="Z29" s="5"/>
      <c r="AA29" s="5"/>
    </row>
    <row r="30" spans="1:27" ht="54" customHeight="1">
      <c r="A30" s="123" t="s">
        <v>87</v>
      </c>
      <c r="B30" s="33" t="s">
        <v>88</v>
      </c>
      <c r="C30" s="114" t="s">
        <v>50</v>
      </c>
      <c r="D30" s="114" t="s">
        <v>98</v>
      </c>
      <c r="E30" s="33" t="s">
        <v>90</v>
      </c>
      <c r="F30" s="114" t="s">
        <v>182</v>
      </c>
      <c r="G30" s="114" t="s">
        <v>54</v>
      </c>
      <c r="H30" s="114" t="s">
        <v>150</v>
      </c>
      <c r="I30" s="114" t="s">
        <v>162</v>
      </c>
      <c r="J30" s="126">
        <v>4</v>
      </c>
      <c r="K30" s="108">
        <v>43418381</v>
      </c>
      <c r="L30" s="105">
        <v>0</v>
      </c>
      <c r="M30" s="105">
        <v>39460392.579999998</v>
      </c>
      <c r="N30" s="26">
        <f t="shared" ref="N30:N53" si="6">K30+L30-M30</f>
        <v>3957988.4200000018</v>
      </c>
      <c r="O30" s="27"/>
      <c r="P30" s="27"/>
      <c r="Q30" s="27"/>
      <c r="R30" s="26">
        <f t="shared" ref="R30:R53" si="7">N30-O30+P30+Q30</f>
        <v>3957988.4200000018</v>
      </c>
      <c r="S30" s="110">
        <v>0</v>
      </c>
      <c r="T30" s="28">
        <f t="shared" ref="T30:T55" si="8">IF(R30&gt;0,S30/R30,0)</f>
        <v>0</v>
      </c>
      <c r="U30" s="113">
        <v>0</v>
      </c>
      <c r="V30" s="28">
        <f t="shared" ref="V30:V55" si="9">IF(R30&gt;0,U30/R30,0)</f>
        <v>0</v>
      </c>
      <c r="W30" s="105">
        <v>0</v>
      </c>
      <c r="X30" s="28">
        <f t="shared" ref="X30:X55" si="10">IF(R30&gt;0,W30/R30,0)</f>
        <v>0</v>
      </c>
      <c r="Y30" s="5"/>
      <c r="Z30" s="5"/>
      <c r="AA30" s="5"/>
    </row>
    <row r="31" spans="1:27" ht="54" customHeight="1">
      <c r="A31" s="123" t="s">
        <v>87</v>
      </c>
      <c r="B31" s="33" t="s">
        <v>88</v>
      </c>
      <c r="C31" s="114" t="s">
        <v>50</v>
      </c>
      <c r="D31" s="114" t="s">
        <v>171</v>
      </c>
      <c r="E31" s="33" t="s">
        <v>90</v>
      </c>
      <c r="F31" s="114" t="s">
        <v>182</v>
      </c>
      <c r="G31" s="114" t="s">
        <v>54</v>
      </c>
      <c r="H31" s="114" t="s">
        <v>150</v>
      </c>
      <c r="I31" s="114" t="s">
        <v>162</v>
      </c>
      <c r="J31" s="126">
        <v>4</v>
      </c>
      <c r="K31" s="108">
        <v>0</v>
      </c>
      <c r="L31" s="105">
        <v>3430512.54</v>
      </c>
      <c r="M31" s="105">
        <v>0</v>
      </c>
      <c r="N31" s="26">
        <f t="shared" si="6"/>
        <v>3430512.54</v>
      </c>
      <c r="O31" s="27"/>
      <c r="P31" s="27"/>
      <c r="Q31" s="27"/>
      <c r="R31" s="26">
        <f t="shared" si="7"/>
        <v>3430512.54</v>
      </c>
      <c r="S31" s="110">
        <v>3430512.54</v>
      </c>
      <c r="T31" s="28">
        <f t="shared" si="8"/>
        <v>1</v>
      </c>
      <c r="U31" s="113">
        <v>0</v>
      </c>
      <c r="V31" s="28">
        <f t="shared" si="9"/>
        <v>0</v>
      </c>
      <c r="W31" s="105">
        <v>0</v>
      </c>
      <c r="X31" s="28">
        <f t="shared" si="10"/>
        <v>0</v>
      </c>
      <c r="Y31" s="5"/>
      <c r="Z31" s="5"/>
      <c r="AA31" s="5"/>
    </row>
    <row r="32" spans="1:27" ht="54" customHeight="1">
      <c r="A32" s="123" t="s">
        <v>87</v>
      </c>
      <c r="B32" s="33" t="s">
        <v>88</v>
      </c>
      <c r="C32" s="114" t="s">
        <v>50</v>
      </c>
      <c r="D32" s="114" t="s">
        <v>152</v>
      </c>
      <c r="E32" s="33" t="s">
        <v>90</v>
      </c>
      <c r="F32" s="114" t="s">
        <v>182</v>
      </c>
      <c r="G32" s="114" t="s">
        <v>54</v>
      </c>
      <c r="H32" s="114" t="s">
        <v>150</v>
      </c>
      <c r="I32" s="114" t="s">
        <v>162</v>
      </c>
      <c r="J32" s="126">
        <v>4</v>
      </c>
      <c r="K32" s="108">
        <v>0</v>
      </c>
      <c r="L32" s="105">
        <v>36029880.039999999</v>
      </c>
      <c r="M32" s="105">
        <v>0</v>
      </c>
      <c r="N32" s="26">
        <f t="shared" si="6"/>
        <v>36029880.039999999</v>
      </c>
      <c r="O32" s="27"/>
      <c r="P32" s="27"/>
      <c r="Q32" s="27"/>
      <c r="R32" s="26">
        <f t="shared" si="7"/>
        <v>36029880.039999999</v>
      </c>
      <c r="S32" s="110">
        <v>36029880.039999999</v>
      </c>
      <c r="T32" s="28">
        <f t="shared" si="8"/>
        <v>1</v>
      </c>
      <c r="U32" s="113">
        <v>0</v>
      </c>
      <c r="V32" s="28">
        <f t="shared" si="9"/>
        <v>0</v>
      </c>
      <c r="W32" s="105">
        <v>0</v>
      </c>
      <c r="X32" s="28">
        <f t="shared" si="10"/>
        <v>0</v>
      </c>
      <c r="Y32" s="5"/>
      <c r="Z32" s="5"/>
      <c r="AA32" s="5"/>
    </row>
    <row r="33" spans="1:27" ht="54" customHeight="1">
      <c r="A33" s="123" t="s">
        <v>87</v>
      </c>
      <c r="B33" s="33" t="s">
        <v>88</v>
      </c>
      <c r="C33" s="114" t="s">
        <v>50</v>
      </c>
      <c r="D33" s="114" t="s">
        <v>100</v>
      </c>
      <c r="E33" s="33" t="s">
        <v>90</v>
      </c>
      <c r="F33" s="114" t="s">
        <v>183</v>
      </c>
      <c r="G33" s="114" t="s">
        <v>54</v>
      </c>
      <c r="H33" s="114" t="s">
        <v>150</v>
      </c>
      <c r="I33" s="114" t="s">
        <v>162</v>
      </c>
      <c r="J33" s="126">
        <v>4</v>
      </c>
      <c r="K33" s="108">
        <v>100000</v>
      </c>
      <c r="L33" s="105">
        <v>0</v>
      </c>
      <c r="M33" s="105">
        <v>0</v>
      </c>
      <c r="N33" s="26">
        <f t="shared" si="6"/>
        <v>100000</v>
      </c>
      <c r="O33" s="27"/>
      <c r="P33" s="27"/>
      <c r="Q33" s="27"/>
      <c r="R33" s="26">
        <f t="shared" si="7"/>
        <v>100000</v>
      </c>
      <c r="S33" s="110">
        <v>0</v>
      </c>
      <c r="T33" s="28">
        <f t="shared" si="8"/>
        <v>0</v>
      </c>
      <c r="U33" s="113">
        <v>0</v>
      </c>
      <c r="V33" s="28">
        <f t="shared" si="9"/>
        <v>0</v>
      </c>
      <c r="W33" s="105">
        <v>0</v>
      </c>
      <c r="X33" s="28">
        <f t="shared" si="10"/>
        <v>0</v>
      </c>
      <c r="Y33" s="5"/>
      <c r="Z33" s="5"/>
      <c r="AA33" s="5"/>
    </row>
    <row r="34" spans="1:27" ht="54" customHeight="1">
      <c r="A34" s="22" t="s">
        <v>87</v>
      </c>
      <c r="B34" s="33" t="s">
        <v>88</v>
      </c>
      <c r="C34" s="33" t="s">
        <v>50</v>
      </c>
      <c r="D34" s="33" t="s">
        <v>51</v>
      </c>
      <c r="E34" s="33" t="s">
        <v>90</v>
      </c>
      <c r="F34" s="114" t="s">
        <v>184</v>
      </c>
      <c r="G34" s="33" t="s">
        <v>54</v>
      </c>
      <c r="H34" s="114" t="s">
        <v>150</v>
      </c>
      <c r="I34" s="114" t="s">
        <v>162</v>
      </c>
      <c r="J34" s="124">
        <v>3</v>
      </c>
      <c r="K34" s="34">
        <f>61151090-K35</f>
        <v>60651090</v>
      </c>
      <c r="L34" s="105">
        <v>0</v>
      </c>
      <c r="M34" s="105">
        <v>0</v>
      </c>
      <c r="N34" s="26">
        <f t="shared" si="6"/>
        <v>60651090</v>
      </c>
      <c r="O34" s="26"/>
      <c r="P34" s="26"/>
      <c r="Q34" s="26"/>
      <c r="R34" s="26">
        <f t="shared" si="7"/>
        <v>60651090</v>
      </c>
      <c r="S34" s="34">
        <f>24324395.56-S35</f>
        <v>24189872.329999998</v>
      </c>
      <c r="T34" s="28">
        <f t="shared" si="8"/>
        <v>0.39883656386060001</v>
      </c>
      <c r="U34" s="55">
        <f>1007655.76</f>
        <v>1007655.76</v>
      </c>
      <c r="V34" s="28">
        <f t="shared" si="9"/>
        <v>1.6613976104963655E-2</v>
      </c>
      <c r="W34" s="105">
        <v>1007655.76</v>
      </c>
      <c r="X34" s="28">
        <f t="shared" si="10"/>
        <v>1.6613976104963655E-2</v>
      </c>
      <c r="Y34" s="5"/>
      <c r="Z34" s="5"/>
      <c r="AA34" s="5"/>
    </row>
    <row r="35" spans="1:27" ht="54" customHeight="1">
      <c r="A35" s="22" t="s">
        <v>87</v>
      </c>
      <c r="B35" s="33" t="s">
        <v>88</v>
      </c>
      <c r="C35" s="33" t="s">
        <v>50</v>
      </c>
      <c r="D35" s="33" t="s">
        <v>51</v>
      </c>
      <c r="E35" s="33" t="s">
        <v>90</v>
      </c>
      <c r="F35" s="33" t="s">
        <v>102</v>
      </c>
      <c r="G35" s="33" t="s">
        <v>54</v>
      </c>
      <c r="H35" s="114" t="s">
        <v>150</v>
      </c>
      <c r="I35" s="114" t="s">
        <v>162</v>
      </c>
      <c r="J35" s="44">
        <v>4</v>
      </c>
      <c r="K35" s="108">
        <v>500000</v>
      </c>
      <c r="L35" s="105">
        <v>0</v>
      </c>
      <c r="M35" s="105">
        <v>0</v>
      </c>
      <c r="N35" s="26">
        <f t="shared" si="6"/>
        <v>500000</v>
      </c>
      <c r="O35" s="26"/>
      <c r="P35" s="26"/>
      <c r="Q35" s="26"/>
      <c r="R35" s="26">
        <f t="shared" si="7"/>
        <v>500000</v>
      </c>
      <c r="S35" s="105">
        <v>134523.23000000001</v>
      </c>
      <c r="T35" s="28">
        <f t="shared" si="8"/>
        <v>0.26904646000000004</v>
      </c>
      <c r="U35" s="113">
        <v>0</v>
      </c>
      <c r="V35" s="28">
        <f t="shared" si="9"/>
        <v>0</v>
      </c>
      <c r="W35" s="105">
        <v>0</v>
      </c>
      <c r="X35" s="28">
        <f t="shared" si="10"/>
        <v>0</v>
      </c>
      <c r="Y35" s="5"/>
      <c r="Z35" s="5"/>
      <c r="AA35" s="5"/>
    </row>
    <row r="36" spans="1:27" ht="54" customHeight="1">
      <c r="A36" s="22" t="s">
        <v>87</v>
      </c>
      <c r="B36" s="33" t="s">
        <v>88</v>
      </c>
      <c r="C36" s="33" t="s">
        <v>50</v>
      </c>
      <c r="D36" s="33" t="s">
        <v>57</v>
      </c>
      <c r="E36" s="33" t="s">
        <v>90</v>
      </c>
      <c r="F36" s="33" t="s">
        <v>103</v>
      </c>
      <c r="G36" s="33" t="s">
        <v>54</v>
      </c>
      <c r="H36" s="114" t="s">
        <v>150</v>
      </c>
      <c r="I36" s="114" t="s">
        <v>162</v>
      </c>
      <c r="J36" s="124">
        <v>3</v>
      </c>
      <c r="K36" s="108">
        <v>100000</v>
      </c>
      <c r="L36" s="109">
        <v>0</v>
      </c>
      <c r="M36" s="109">
        <v>0</v>
      </c>
      <c r="N36" s="36">
        <f t="shared" si="6"/>
        <v>100000</v>
      </c>
      <c r="O36" s="36"/>
      <c r="P36" s="36"/>
      <c r="Q36" s="36"/>
      <c r="R36" s="36">
        <f t="shared" si="7"/>
        <v>100000</v>
      </c>
      <c r="S36" s="109">
        <v>0</v>
      </c>
      <c r="T36" s="38">
        <f t="shared" si="8"/>
        <v>0</v>
      </c>
      <c r="U36" s="111">
        <v>0</v>
      </c>
      <c r="V36" s="38">
        <f t="shared" si="9"/>
        <v>0</v>
      </c>
      <c r="W36" s="109">
        <v>0</v>
      </c>
      <c r="X36" s="38">
        <f t="shared" si="10"/>
        <v>0</v>
      </c>
      <c r="Y36" s="5"/>
      <c r="Z36" s="5"/>
      <c r="AA36" s="5"/>
    </row>
    <row r="37" spans="1:27" ht="63">
      <c r="A37" s="22" t="s">
        <v>87</v>
      </c>
      <c r="B37" s="33" t="s">
        <v>88</v>
      </c>
      <c r="C37" s="33" t="s">
        <v>50</v>
      </c>
      <c r="D37" s="33" t="s">
        <v>105</v>
      </c>
      <c r="E37" s="33" t="s">
        <v>65</v>
      </c>
      <c r="F37" s="114" t="s">
        <v>185</v>
      </c>
      <c r="G37" s="33" t="s">
        <v>54</v>
      </c>
      <c r="H37" s="114" t="s">
        <v>150</v>
      </c>
      <c r="I37" s="114" t="s">
        <v>162</v>
      </c>
      <c r="J37" s="44">
        <v>4</v>
      </c>
      <c r="K37" s="108">
        <v>17334789</v>
      </c>
      <c r="L37" s="109"/>
      <c r="M37" s="109">
        <v>17334789</v>
      </c>
      <c r="N37" s="36">
        <f t="shared" si="6"/>
        <v>0</v>
      </c>
      <c r="O37" s="36"/>
      <c r="P37" s="36"/>
      <c r="Q37" s="36"/>
      <c r="R37" s="36">
        <f t="shared" si="7"/>
        <v>0</v>
      </c>
      <c r="S37" s="110"/>
      <c r="T37" s="38">
        <f t="shared" si="8"/>
        <v>0</v>
      </c>
      <c r="U37" s="113"/>
      <c r="V37" s="38">
        <f t="shared" si="9"/>
        <v>0</v>
      </c>
      <c r="W37" s="109"/>
      <c r="X37" s="38">
        <f t="shared" si="10"/>
        <v>0</v>
      </c>
      <c r="Y37" s="5"/>
      <c r="Z37" s="5"/>
      <c r="AA37" s="5"/>
    </row>
    <row r="38" spans="1:27" ht="63">
      <c r="A38" s="123" t="s">
        <v>87</v>
      </c>
      <c r="B38" s="33" t="s">
        <v>88</v>
      </c>
      <c r="C38" s="114" t="s">
        <v>50</v>
      </c>
      <c r="D38" s="114" t="s">
        <v>156</v>
      </c>
      <c r="E38" s="33" t="s">
        <v>65</v>
      </c>
      <c r="F38" s="114" t="s">
        <v>185</v>
      </c>
      <c r="G38" s="114" t="s">
        <v>54</v>
      </c>
      <c r="H38" s="114" t="s">
        <v>150</v>
      </c>
      <c r="I38" s="114" t="s">
        <v>162</v>
      </c>
      <c r="J38" s="126">
        <v>4</v>
      </c>
      <c r="K38" s="108">
        <v>0</v>
      </c>
      <c r="L38" s="109">
        <v>17334789</v>
      </c>
      <c r="M38" s="109">
        <v>0</v>
      </c>
      <c r="N38" s="36">
        <f t="shared" si="6"/>
        <v>17334789</v>
      </c>
      <c r="O38" s="36"/>
      <c r="P38" s="36"/>
      <c r="Q38" s="36"/>
      <c r="R38" s="36">
        <f t="shared" si="7"/>
        <v>17334789</v>
      </c>
      <c r="S38" s="110">
        <v>17334789</v>
      </c>
      <c r="T38" s="38">
        <f t="shared" si="8"/>
        <v>1</v>
      </c>
      <c r="U38" s="113">
        <v>0</v>
      </c>
      <c r="V38" s="38">
        <f t="shared" si="9"/>
        <v>0</v>
      </c>
      <c r="W38" s="109">
        <v>0</v>
      </c>
      <c r="X38" s="38">
        <f t="shared" si="10"/>
        <v>0</v>
      </c>
      <c r="Y38" s="5"/>
      <c r="Z38" s="5"/>
      <c r="AA38" s="5"/>
    </row>
    <row r="39" spans="1:27" ht="63">
      <c r="A39" s="22" t="s">
        <v>87</v>
      </c>
      <c r="B39" s="33" t="s">
        <v>88</v>
      </c>
      <c r="C39" s="33" t="s">
        <v>50</v>
      </c>
      <c r="D39" s="114" t="s">
        <v>107</v>
      </c>
      <c r="E39" s="33" t="s">
        <v>65</v>
      </c>
      <c r="F39" s="114" t="s">
        <v>186</v>
      </c>
      <c r="G39" s="33" t="s">
        <v>54</v>
      </c>
      <c r="H39" s="114" t="s">
        <v>150</v>
      </c>
      <c r="I39" s="114" t="s">
        <v>162</v>
      </c>
      <c r="J39" s="126">
        <v>4</v>
      </c>
      <c r="K39" s="108">
        <v>50000</v>
      </c>
      <c r="L39" s="109">
        <v>0</v>
      </c>
      <c r="M39" s="109">
        <v>0</v>
      </c>
      <c r="N39" s="36">
        <f t="shared" si="6"/>
        <v>50000</v>
      </c>
      <c r="O39" s="36"/>
      <c r="P39" s="36"/>
      <c r="Q39" s="36"/>
      <c r="R39" s="36">
        <f t="shared" si="7"/>
        <v>50000</v>
      </c>
      <c r="S39" s="110">
        <v>0</v>
      </c>
      <c r="T39" s="38">
        <f t="shared" si="8"/>
        <v>0</v>
      </c>
      <c r="U39" s="113">
        <v>0</v>
      </c>
      <c r="V39" s="38">
        <f t="shared" si="9"/>
        <v>0</v>
      </c>
      <c r="W39" s="109">
        <v>0</v>
      </c>
      <c r="X39" s="38">
        <f t="shared" si="10"/>
        <v>0</v>
      </c>
      <c r="Y39" s="5"/>
      <c r="Z39" s="5"/>
      <c r="AA39" s="5"/>
    </row>
    <row r="40" spans="1:27" ht="63">
      <c r="A40" s="22" t="s">
        <v>87</v>
      </c>
      <c r="B40" s="33" t="s">
        <v>88</v>
      </c>
      <c r="C40" s="33" t="s">
        <v>50</v>
      </c>
      <c r="D40" s="114" t="s">
        <v>187</v>
      </c>
      <c r="E40" s="33" t="s">
        <v>65</v>
      </c>
      <c r="F40" s="114" t="s">
        <v>188</v>
      </c>
      <c r="G40" s="33" t="s">
        <v>54</v>
      </c>
      <c r="H40" s="114" t="s">
        <v>150</v>
      </c>
      <c r="I40" s="114" t="s">
        <v>162</v>
      </c>
      <c r="J40" s="135">
        <v>3</v>
      </c>
      <c r="K40" s="108">
        <v>750000</v>
      </c>
      <c r="L40" s="109">
        <v>0</v>
      </c>
      <c r="M40" s="109">
        <v>0</v>
      </c>
      <c r="N40" s="36">
        <f t="shared" si="6"/>
        <v>750000</v>
      </c>
      <c r="O40" s="36"/>
      <c r="P40" s="36"/>
      <c r="Q40" s="36"/>
      <c r="R40" s="36">
        <f t="shared" si="7"/>
        <v>750000</v>
      </c>
      <c r="S40" s="110">
        <v>0</v>
      </c>
      <c r="T40" s="38">
        <f t="shared" si="8"/>
        <v>0</v>
      </c>
      <c r="U40" s="111">
        <v>0</v>
      </c>
      <c r="V40" s="38">
        <f t="shared" si="9"/>
        <v>0</v>
      </c>
      <c r="W40" s="109">
        <v>0</v>
      </c>
      <c r="X40" s="38">
        <f t="shared" si="10"/>
        <v>0</v>
      </c>
      <c r="Y40" s="5"/>
      <c r="Z40" s="5"/>
      <c r="AA40" s="5"/>
    </row>
    <row r="41" spans="1:27" ht="63">
      <c r="A41" s="22" t="s">
        <v>87</v>
      </c>
      <c r="B41" s="33" t="s">
        <v>88</v>
      </c>
      <c r="C41" s="33" t="s">
        <v>50</v>
      </c>
      <c r="D41" s="33" t="s">
        <v>64</v>
      </c>
      <c r="E41" s="33" t="s">
        <v>65</v>
      </c>
      <c r="F41" s="33" t="s">
        <v>66</v>
      </c>
      <c r="G41" s="33" t="s">
        <v>54</v>
      </c>
      <c r="H41" s="114" t="s">
        <v>150</v>
      </c>
      <c r="I41" s="114" t="s">
        <v>162</v>
      </c>
      <c r="J41" s="124">
        <v>3</v>
      </c>
      <c r="K41" s="108">
        <v>50000</v>
      </c>
      <c r="L41" s="105">
        <v>0</v>
      </c>
      <c r="M41" s="105">
        <v>0</v>
      </c>
      <c r="N41" s="26">
        <f t="shared" si="6"/>
        <v>50000</v>
      </c>
      <c r="O41" s="26"/>
      <c r="P41" s="26"/>
      <c r="Q41" s="26"/>
      <c r="R41" s="26">
        <f t="shared" si="7"/>
        <v>50000</v>
      </c>
      <c r="S41" s="110">
        <v>0</v>
      </c>
      <c r="T41" s="28">
        <f t="shared" si="8"/>
        <v>0</v>
      </c>
      <c r="U41" s="111">
        <v>0</v>
      </c>
      <c r="V41" s="28">
        <f t="shared" si="9"/>
        <v>0</v>
      </c>
      <c r="W41" s="105">
        <v>0</v>
      </c>
      <c r="X41" s="28">
        <f t="shared" si="10"/>
        <v>0</v>
      </c>
      <c r="Y41" s="5"/>
      <c r="Z41" s="5"/>
      <c r="AA41" s="5"/>
    </row>
    <row r="42" spans="1:27" ht="63">
      <c r="A42" s="22" t="s">
        <v>87</v>
      </c>
      <c r="B42" s="33" t="s">
        <v>88</v>
      </c>
      <c r="C42" s="33" t="s">
        <v>50</v>
      </c>
      <c r="D42" s="33" t="s">
        <v>113</v>
      </c>
      <c r="E42" s="33" t="s">
        <v>65</v>
      </c>
      <c r="F42" s="114" t="s">
        <v>180</v>
      </c>
      <c r="G42" s="33" t="s">
        <v>54</v>
      </c>
      <c r="H42" s="114" t="s">
        <v>150</v>
      </c>
      <c r="I42" s="114" t="s">
        <v>162</v>
      </c>
      <c r="J42" s="124">
        <v>3</v>
      </c>
      <c r="K42" s="108">
        <f>37007920-K43</f>
        <v>36751090</v>
      </c>
      <c r="L42" s="105">
        <v>0</v>
      </c>
      <c r="M42" s="105">
        <v>0</v>
      </c>
      <c r="N42" s="26">
        <f t="shared" si="6"/>
        <v>36751090</v>
      </c>
      <c r="O42" s="26"/>
      <c r="P42" s="26"/>
      <c r="Q42" s="26"/>
      <c r="R42" s="26">
        <f t="shared" si="7"/>
        <v>36751090</v>
      </c>
      <c r="S42" s="105">
        <v>17870090</v>
      </c>
      <c r="T42" s="28">
        <f t="shared" si="8"/>
        <v>0.48624653037501747</v>
      </c>
      <c r="U42" s="111">
        <v>272639.75</v>
      </c>
      <c r="V42" s="28">
        <f t="shared" si="9"/>
        <v>7.4185486743386384E-3</v>
      </c>
      <c r="W42" s="105">
        <v>272639.75</v>
      </c>
      <c r="X42" s="28">
        <f t="shared" si="10"/>
        <v>7.4185486743386384E-3</v>
      </c>
      <c r="Y42" s="5"/>
      <c r="Z42" s="5"/>
      <c r="AA42" s="5"/>
    </row>
    <row r="43" spans="1:27" ht="63">
      <c r="A43" s="22" t="s">
        <v>87</v>
      </c>
      <c r="B43" s="33" t="s">
        <v>88</v>
      </c>
      <c r="C43" s="33" t="s">
        <v>50</v>
      </c>
      <c r="D43" s="33" t="s">
        <v>113</v>
      </c>
      <c r="E43" s="33" t="s">
        <v>65</v>
      </c>
      <c r="F43" s="114" t="s">
        <v>180</v>
      </c>
      <c r="G43" s="33" t="s">
        <v>54</v>
      </c>
      <c r="H43" s="114" t="s">
        <v>150</v>
      </c>
      <c r="I43" s="114" t="s">
        <v>162</v>
      </c>
      <c r="J43" s="44">
        <v>4</v>
      </c>
      <c r="K43" s="108">
        <v>256830</v>
      </c>
      <c r="L43" s="105">
        <v>0</v>
      </c>
      <c r="M43" s="105">
        <v>0</v>
      </c>
      <c r="N43" s="26">
        <f t="shared" si="6"/>
        <v>256830</v>
      </c>
      <c r="O43" s="26"/>
      <c r="P43" s="26"/>
      <c r="Q43" s="26"/>
      <c r="R43" s="26">
        <f t="shared" si="7"/>
        <v>256830</v>
      </c>
      <c r="S43" s="105">
        <v>0</v>
      </c>
      <c r="T43" s="28">
        <f t="shared" si="8"/>
        <v>0</v>
      </c>
      <c r="U43" s="113">
        <v>0</v>
      </c>
      <c r="V43" s="28">
        <f t="shared" si="9"/>
        <v>0</v>
      </c>
      <c r="W43" s="105">
        <v>0</v>
      </c>
      <c r="X43" s="28">
        <f t="shared" si="10"/>
        <v>0</v>
      </c>
      <c r="Y43" s="5"/>
      <c r="Z43" s="5"/>
      <c r="AA43" s="5"/>
    </row>
    <row r="44" spans="1:27" ht="63" customHeight="1">
      <c r="A44" s="123" t="s">
        <v>87</v>
      </c>
      <c r="B44" s="104" t="s">
        <v>88</v>
      </c>
      <c r="C44" s="104" t="s">
        <v>50</v>
      </c>
      <c r="D44" s="104" t="s">
        <v>116</v>
      </c>
      <c r="E44" s="33" t="s">
        <v>65</v>
      </c>
      <c r="F44" s="104" t="s">
        <v>189</v>
      </c>
      <c r="G44" s="104" t="s">
        <v>54</v>
      </c>
      <c r="H44" s="104" t="s">
        <v>150</v>
      </c>
      <c r="I44" s="114" t="s">
        <v>162</v>
      </c>
      <c r="J44" s="128">
        <v>3</v>
      </c>
      <c r="K44" s="108">
        <v>960000</v>
      </c>
      <c r="L44" s="105">
        <v>0</v>
      </c>
      <c r="M44" s="105">
        <v>0</v>
      </c>
      <c r="N44" s="26">
        <f t="shared" si="6"/>
        <v>960000</v>
      </c>
      <c r="O44" s="26"/>
      <c r="P44" s="26"/>
      <c r="Q44" s="26"/>
      <c r="R44" s="26">
        <f t="shared" si="7"/>
        <v>960000</v>
      </c>
      <c r="S44" s="109">
        <v>30827.71</v>
      </c>
      <c r="T44" s="28">
        <f t="shared" si="8"/>
        <v>3.2112197916666668E-2</v>
      </c>
      <c r="U44" s="111">
        <v>30827.71</v>
      </c>
      <c r="V44" s="28">
        <f t="shared" si="9"/>
        <v>3.2112197916666668E-2</v>
      </c>
      <c r="W44" s="105">
        <v>30827.71</v>
      </c>
      <c r="X44" s="28">
        <f t="shared" si="10"/>
        <v>3.2112197916666668E-2</v>
      </c>
      <c r="Y44" s="5"/>
      <c r="Z44" s="5"/>
      <c r="AA44" s="5"/>
    </row>
    <row r="45" spans="1:27" ht="63" customHeight="1">
      <c r="A45" s="22" t="s">
        <v>87</v>
      </c>
      <c r="B45" s="23" t="s">
        <v>88</v>
      </c>
      <c r="C45" s="23" t="s">
        <v>50</v>
      </c>
      <c r="D45" s="23" t="s">
        <v>71</v>
      </c>
      <c r="E45" s="33" t="s">
        <v>65</v>
      </c>
      <c r="F45" s="23" t="s">
        <v>72</v>
      </c>
      <c r="G45" s="23" t="s">
        <v>54</v>
      </c>
      <c r="H45" s="104" t="s">
        <v>150</v>
      </c>
      <c r="I45" s="114" t="s">
        <v>162</v>
      </c>
      <c r="J45" s="124">
        <v>3</v>
      </c>
      <c r="K45" s="108">
        <v>50000</v>
      </c>
      <c r="L45" s="105">
        <v>0</v>
      </c>
      <c r="M45" s="105">
        <v>0</v>
      </c>
      <c r="N45" s="26">
        <f t="shared" si="6"/>
        <v>50000</v>
      </c>
      <c r="O45" s="26"/>
      <c r="P45" s="26"/>
      <c r="Q45" s="26"/>
      <c r="R45" s="26">
        <f t="shared" si="7"/>
        <v>50000</v>
      </c>
      <c r="S45" s="109">
        <v>0</v>
      </c>
      <c r="T45" s="28">
        <f t="shared" si="8"/>
        <v>0</v>
      </c>
      <c r="U45" s="111">
        <v>0</v>
      </c>
      <c r="V45" s="28">
        <f t="shared" si="9"/>
        <v>0</v>
      </c>
      <c r="W45" s="105">
        <v>0</v>
      </c>
      <c r="X45" s="28">
        <f t="shared" si="10"/>
        <v>0</v>
      </c>
      <c r="Y45" s="5"/>
      <c r="Z45" s="5"/>
      <c r="AA45" s="5"/>
    </row>
    <row r="46" spans="1:27" ht="63" customHeight="1">
      <c r="A46" s="22" t="s">
        <v>87</v>
      </c>
      <c r="B46" s="33" t="s">
        <v>88</v>
      </c>
      <c r="C46" s="33" t="s">
        <v>118</v>
      </c>
      <c r="D46" s="33" t="s">
        <v>119</v>
      </c>
      <c r="E46" s="114" t="s">
        <v>90</v>
      </c>
      <c r="F46" s="114" t="s">
        <v>190</v>
      </c>
      <c r="G46" s="33" t="s">
        <v>54</v>
      </c>
      <c r="H46" s="114" t="s">
        <v>150</v>
      </c>
      <c r="I46" s="114" t="s">
        <v>162</v>
      </c>
      <c r="J46" s="124">
        <v>3</v>
      </c>
      <c r="K46" s="34">
        <f>16951090-K47</f>
        <v>15951090</v>
      </c>
      <c r="L46" s="109">
        <v>0</v>
      </c>
      <c r="M46" s="109">
        <v>0</v>
      </c>
      <c r="N46" s="36">
        <f t="shared" si="6"/>
        <v>15951090</v>
      </c>
      <c r="O46" s="36"/>
      <c r="P46" s="36"/>
      <c r="Q46" s="36"/>
      <c r="R46" s="36">
        <f t="shared" si="7"/>
        <v>15951090</v>
      </c>
      <c r="S46" s="109">
        <v>10510117.25</v>
      </c>
      <c r="T46" s="38">
        <f t="shared" si="8"/>
        <v>0.6588964923400219</v>
      </c>
      <c r="U46" s="111">
        <v>3665.3</v>
      </c>
      <c r="V46" s="38">
        <f t="shared" si="9"/>
        <v>2.2978366995609706E-4</v>
      </c>
      <c r="W46" s="109">
        <v>3665.3</v>
      </c>
      <c r="X46" s="38">
        <f t="shared" si="10"/>
        <v>2.2978366995609706E-4</v>
      </c>
      <c r="Y46" s="5"/>
      <c r="Z46" s="5"/>
      <c r="AA46" s="5"/>
    </row>
    <row r="47" spans="1:27" ht="63" customHeight="1">
      <c r="A47" s="22" t="s">
        <v>87</v>
      </c>
      <c r="B47" s="23" t="s">
        <v>88</v>
      </c>
      <c r="C47" s="23" t="s">
        <v>118</v>
      </c>
      <c r="D47" s="23" t="s">
        <v>119</v>
      </c>
      <c r="E47" s="114" t="s">
        <v>90</v>
      </c>
      <c r="F47" s="114" t="s">
        <v>190</v>
      </c>
      <c r="G47" s="23" t="s">
        <v>54</v>
      </c>
      <c r="H47" s="104" t="s">
        <v>150</v>
      </c>
      <c r="I47" s="114" t="s">
        <v>162</v>
      </c>
      <c r="J47" s="44">
        <v>4</v>
      </c>
      <c r="K47" s="108">
        <v>1000000</v>
      </c>
      <c r="L47" s="105">
        <v>0</v>
      </c>
      <c r="M47" s="105">
        <v>0</v>
      </c>
      <c r="N47" s="26">
        <f t="shared" si="6"/>
        <v>1000000</v>
      </c>
      <c r="O47" s="26"/>
      <c r="P47" s="26"/>
      <c r="Q47" s="26"/>
      <c r="R47" s="26">
        <f t="shared" si="7"/>
        <v>1000000</v>
      </c>
      <c r="S47" s="109">
        <v>0</v>
      </c>
      <c r="T47" s="28">
        <f t="shared" si="8"/>
        <v>0</v>
      </c>
      <c r="U47" s="113">
        <v>0</v>
      </c>
      <c r="V47" s="28">
        <f t="shared" si="9"/>
        <v>0</v>
      </c>
      <c r="W47" s="105">
        <v>0</v>
      </c>
      <c r="X47" s="28">
        <f t="shared" si="10"/>
        <v>0</v>
      </c>
      <c r="Y47" s="5"/>
      <c r="Z47" s="5"/>
      <c r="AA47" s="5"/>
    </row>
    <row r="48" spans="1:27" ht="63" customHeight="1">
      <c r="A48" s="22" t="s">
        <v>87</v>
      </c>
      <c r="B48" s="23" t="s">
        <v>88</v>
      </c>
      <c r="C48" s="23" t="s">
        <v>118</v>
      </c>
      <c r="D48" s="23" t="s">
        <v>121</v>
      </c>
      <c r="E48" s="33" t="s">
        <v>65</v>
      </c>
      <c r="F48" s="104" t="s">
        <v>191</v>
      </c>
      <c r="G48" s="23" t="s">
        <v>54</v>
      </c>
      <c r="H48" s="104" t="s">
        <v>150</v>
      </c>
      <c r="I48" s="114" t="s">
        <v>162</v>
      </c>
      <c r="J48" s="124">
        <v>3</v>
      </c>
      <c r="K48" s="108">
        <f>9751090-K49</f>
        <v>9651090</v>
      </c>
      <c r="L48" s="105">
        <v>0</v>
      </c>
      <c r="M48" s="105">
        <v>0</v>
      </c>
      <c r="N48" s="26">
        <f t="shared" si="6"/>
        <v>9651090</v>
      </c>
      <c r="O48" s="26"/>
      <c r="P48" s="26"/>
      <c r="Q48" s="26"/>
      <c r="R48" s="26">
        <f t="shared" si="7"/>
        <v>9651090</v>
      </c>
      <c r="S48" s="109">
        <f>8494405.91-S49</f>
        <v>8394405.9100000001</v>
      </c>
      <c r="T48" s="28">
        <f t="shared" si="8"/>
        <v>0.86978837727137559</v>
      </c>
      <c r="U48" s="111">
        <v>0</v>
      </c>
      <c r="V48" s="28">
        <f t="shared" si="9"/>
        <v>0</v>
      </c>
      <c r="W48" s="105">
        <v>0</v>
      </c>
      <c r="X48" s="28">
        <f t="shared" si="10"/>
        <v>0</v>
      </c>
      <c r="Y48" s="5"/>
      <c r="Z48" s="5"/>
      <c r="AA48" s="5"/>
    </row>
    <row r="49" spans="1:27" ht="63" customHeight="1">
      <c r="A49" s="22" t="s">
        <v>87</v>
      </c>
      <c r="B49" s="23" t="s">
        <v>88</v>
      </c>
      <c r="C49" s="23" t="s">
        <v>118</v>
      </c>
      <c r="D49" s="23" t="s">
        <v>121</v>
      </c>
      <c r="E49" s="33" t="s">
        <v>65</v>
      </c>
      <c r="F49" s="104" t="s">
        <v>191</v>
      </c>
      <c r="G49" s="23" t="s">
        <v>54</v>
      </c>
      <c r="H49" s="104" t="s">
        <v>150</v>
      </c>
      <c r="I49" s="114" t="s">
        <v>162</v>
      </c>
      <c r="J49" s="44">
        <v>4</v>
      </c>
      <c r="K49" s="108">
        <v>100000</v>
      </c>
      <c r="L49" s="105">
        <v>100000</v>
      </c>
      <c r="M49" s="105">
        <v>100000</v>
      </c>
      <c r="N49" s="26">
        <f t="shared" si="6"/>
        <v>100000</v>
      </c>
      <c r="O49" s="26"/>
      <c r="P49" s="26"/>
      <c r="Q49" s="26"/>
      <c r="R49" s="26">
        <f t="shared" si="7"/>
        <v>100000</v>
      </c>
      <c r="S49" s="109">
        <f>50000+50000</f>
        <v>100000</v>
      </c>
      <c r="T49" s="28">
        <f t="shared" si="8"/>
        <v>1</v>
      </c>
      <c r="U49" s="113">
        <v>0</v>
      </c>
      <c r="V49" s="28">
        <f t="shared" si="9"/>
        <v>0</v>
      </c>
      <c r="W49" s="105">
        <v>0</v>
      </c>
      <c r="X49" s="28">
        <f t="shared" si="10"/>
        <v>0</v>
      </c>
      <c r="Y49" s="5"/>
      <c r="Z49" s="5"/>
      <c r="AA49" s="5"/>
    </row>
    <row r="50" spans="1:27" ht="63" customHeight="1">
      <c r="A50" s="22" t="s">
        <v>87</v>
      </c>
      <c r="B50" s="23" t="s">
        <v>88</v>
      </c>
      <c r="C50" s="23" t="s">
        <v>76</v>
      </c>
      <c r="D50" s="23" t="s">
        <v>77</v>
      </c>
      <c r="E50" s="33" t="s">
        <v>65</v>
      </c>
      <c r="F50" s="23" t="s">
        <v>123</v>
      </c>
      <c r="G50" s="23" t="s">
        <v>54</v>
      </c>
      <c r="H50" s="104" t="s">
        <v>150</v>
      </c>
      <c r="I50" s="114" t="s">
        <v>162</v>
      </c>
      <c r="J50" s="124">
        <v>3</v>
      </c>
      <c r="K50" s="108">
        <v>1500000</v>
      </c>
      <c r="L50" s="105">
        <v>248161</v>
      </c>
      <c r="M50" s="105">
        <v>248161</v>
      </c>
      <c r="N50" s="26">
        <f t="shared" si="6"/>
        <v>1500000</v>
      </c>
      <c r="O50" s="26"/>
      <c r="P50" s="26"/>
      <c r="Q50" s="26"/>
      <c r="R50" s="26">
        <f t="shared" si="7"/>
        <v>1500000</v>
      </c>
      <c r="S50" s="109">
        <v>262560</v>
      </c>
      <c r="T50" s="28">
        <f t="shared" si="8"/>
        <v>0.17504</v>
      </c>
      <c r="U50" s="111">
        <v>15360</v>
      </c>
      <c r="V50" s="28">
        <f t="shared" si="9"/>
        <v>1.0240000000000001E-2</v>
      </c>
      <c r="W50" s="105">
        <v>13708.36</v>
      </c>
      <c r="X50" s="28">
        <f t="shared" si="10"/>
        <v>9.1389066666666668E-3</v>
      </c>
      <c r="Y50" s="5"/>
      <c r="Z50" s="5"/>
      <c r="AA50" s="5"/>
    </row>
    <row r="51" spans="1:27" ht="63" customHeight="1">
      <c r="A51" s="22" t="s">
        <v>87</v>
      </c>
      <c r="B51" s="23" t="s">
        <v>88</v>
      </c>
      <c r="C51" s="23" t="s">
        <v>76</v>
      </c>
      <c r="D51" s="104" t="s">
        <v>61</v>
      </c>
      <c r="E51" s="33" t="s">
        <v>65</v>
      </c>
      <c r="F51" s="104" t="s">
        <v>181</v>
      </c>
      <c r="G51" s="23" t="s">
        <v>54</v>
      </c>
      <c r="H51" s="104" t="s">
        <v>150</v>
      </c>
      <c r="I51" s="114" t="s">
        <v>162</v>
      </c>
      <c r="J51" s="124">
        <v>3</v>
      </c>
      <c r="K51" s="108">
        <v>205640</v>
      </c>
      <c r="L51" s="105">
        <v>0</v>
      </c>
      <c r="M51" s="105">
        <v>0</v>
      </c>
      <c r="N51" s="26">
        <f t="shared" si="6"/>
        <v>205640</v>
      </c>
      <c r="O51" s="26"/>
      <c r="P51" s="26"/>
      <c r="Q51" s="26"/>
      <c r="R51" s="26">
        <f t="shared" si="7"/>
        <v>205640</v>
      </c>
      <c r="S51" s="109">
        <v>0</v>
      </c>
      <c r="T51" s="28">
        <f t="shared" si="8"/>
        <v>0</v>
      </c>
      <c r="U51" s="111">
        <v>0</v>
      </c>
      <c r="V51" s="28">
        <f t="shared" si="9"/>
        <v>0</v>
      </c>
      <c r="W51" s="105">
        <v>0</v>
      </c>
      <c r="X51" s="28">
        <f t="shared" si="10"/>
        <v>0</v>
      </c>
      <c r="Y51" s="5"/>
      <c r="Z51" s="5"/>
      <c r="AA51" s="5"/>
    </row>
    <row r="52" spans="1:27" ht="63" customHeight="1">
      <c r="A52" s="22" t="s">
        <v>87</v>
      </c>
      <c r="B52" s="23" t="s">
        <v>88</v>
      </c>
      <c r="C52" s="23" t="s">
        <v>76</v>
      </c>
      <c r="D52" s="104" t="s">
        <v>61</v>
      </c>
      <c r="E52" s="33" t="s">
        <v>65</v>
      </c>
      <c r="F52" s="104" t="s">
        <v>181</v>
      </c>
      <c r="G52" s="23" t="s">
        <v>54</v>
      </c>
      <c r="H52" s="104" t="s">
        <v>150</v>
      </c>
      <c r="I52" s="114" t="s">
        <v>162</v>
      </c>
      <c r="J52" s="44">
        <v>4</v>
      </c>
      <c r="K52" s="108">
        <v>240000</v>
      </c>
      <c r="L52" s="105">
        <v>0</v>
      </c>
      <c r="M52" s="105">
        <v>0</v>
      </c>
      <c r="N52" s="26">
        <f t="shared" si="6"/>
        <v>240000</v>
      </c>
      <c r="O52" s="26"/>
      <c r="P52" s="26"/>
      <c r="Q52" s="26"/>
      <c r="R52" s="26">
        <f t="shared" si="7"/>
        <v>240000</v>
      </c>
      <c r="S52" s="109">
        <v>0</v>
      </c>
      <c r="T52" s="28">
        <f t="shared" si="8"/>
        <v>0</v>
      </c>
      <c r="U52" s="113">
        <v>0</v>
      </c>
      <c r="V52" s="28">
        <f t="shared" si="9"/>
        <v>0</v>
      </c>
      <c r="W52" s="105">
        <v>0</v>
      </c>
      <c r="X52" s="28">
        <f t="shared" si="10"/>
        <v>0</v>
      </c>
      <c r="Y52" s="5"/>
      <c r="Z52" s="5"/>
      <c r="AA52" s="5"/>
    </row>
    <row r="53" spans="1:27" ht="63" customHeight="1">
      <c r="A53" s="123" t="s">
        <v>87</v>
      </c>
      <c r="B53" s="23" t="s">
        <v>88</v>
      </c>
      <c r="C53" s="104" t="s">
        <v>76</v>
      </c>
      <c r="D53" s="104" t="s">
        <v>192</v>
      </c>
      <c r="E53" s="33" t="s">
        <v>65</v>
      </c>
      <c r="F53" s="104" t="s">
        <v>181</v>
      </c>
      <c r="G53" s="104" t="s">
        <v>54</v>
      </c>
      <c r="H53" s="104" t="s">
        <v>154</v>
      </c>
      <c r="I53" s="104" t="s">
        <v>165</v>
      </c>
      <c r="J53" s="128">
        <v>3</v>
      </c>
      <c r="K53" s="108">
        <v>1200000</v>
      </c>
      <c r="L53" s="105">
        <v>0</v>
      </c>
      <c r="M53" s="105">
        <v>0</v>
      </c>
      <c r="N53" s="26">
        <f t="shared" si="6"/>
        <v>1200000</v>
      </c>
      <c r="O53" s="26"/>
      <c r="P53" s="26"/>
      <c r="Q53" s="26"/>
      <c r="R53" s="26">
        <f t="shared" si="7"/>
        <v>1200000</v>
      </c>
      <c r="S53" s="109">
        <v>393130.74</v>
      </c>
      <c r="T53" s="28">
        <f t="shared" si="8"/>
        <v>0.32760895000000001</v>
      </c>
      <c r="U53" s="111">
        <v>0</v>
      </c>
      <c r="V53" s="28">
        <f t="shared" si="9"/>
        <v>0</v>
      </c>
      <c r="W53" s="105">
        <v>0</v>
      </c>
      <c r="X53" s="28">
        <f t="shared" si="10"/>
        <v>0</v>
      </c>
      <c r="Y53" s="5"/>
      <c r="Z53" s="5"/>
      <c r="AA53" s="5"/>
    </row>
    <row r="54" spans="1:27" ht="15.75" customHeight="1">
      <c r="A54" s="156" t="s">
        <v>124</v>
      </c>
      <c r="B54" s="142"/>
      <c r="C54" s="142"/>
      <c r="D54" s="142"/>
      <c r="E54" s="142"/>
      <c r="F54" s="142"/>
      <c r="G54" s="142"/>
      <c r="H54" s="142"/>
      <c r="I54" s="142"/>
      <c r="J54" s="143"/>
      <c r="K54" s="39">
        <f t="shared" ref="K54:S54" si="11">SUM(K30:K53)</f>
        <v>190820000</v>
      </c>
      <c r="L54" s="39">
        <f t="shared" si="11"/>
        <v>57143342.579999998</v>
      </c>
      <c r="M54" s="39">
        <f t="shared" si="11"/>
        <v>57143342.579999998</v>
      </c>
      <c r="N54" s="39">
        <f t="shared" si="11"/>
        <v>190820000</v>
      </c>
      <c r="O54" s="39">
        <f t="shared" si="11"/>
        <v>0</v>
      </c>
      <c r="P54" s="39">
        <f t="shared" si="11"/>
        <v>0</v>
      </c>
      <c r="Q54" s="39">
        <f t="shared" si="11"/>
        <v>0</v>
      </c>
      <c r="R54" s="39">
        <f t="shared" si="11"/>
        <v>190820000</v>
      </c>
      <c r="S54" s="39">
        <f t="shared" si="11"/>
        <v>118680708.74999997</v>
      </c>
      <c r="T54" s="40">
        <f t="shared" si="8"/>
        <v>0.62195109920343761</v>
      </c>
      <c r="U54" s="39">
        <f>SUM(U30:U53)</f>
        <v>1330148.52</v>
      </c>
      <c r="V54" s="40">
        <f t="shared" si="9"/>
        <v>6.9706976207944658E-3</v>
      </c>
      <c r="W54" s="39">
        <f>SUM(W30:W53)</f>
        <v>1328496.8800000001</v>
      </c>
      <c r="X54" s="40">
        <f t="shared" si="10"/>
        <v>6.9620421339482239E-3</v>
      </c>
      <c r="Y54" s="5"/>
      <c r="Z54" s="5"/>
      <c r="AA54" s="5"/>
    </row>
    <row r="55" spans="1:27" ht="15.75" customHeight="1">
      <c r="A55" s="157" t="s">
        <v>125</v>
      </c>
      <c r="B55" s="142"/>
      <c r="C55" s="142"/>
      <c r="D55" s="142"/>
      <c r="E55" s="142"/>
      <c r="F55" s="142"/>
      <c r="G55" s="142"/>
      <c r="H55" s="142"/>
      <c r="I55" s="142"/>
      <c r="J55" s="143"/>
      <c r="K55" s="57">
        <f t="shared" ref="K55:S55" si="12">SUM(K27+K54)</f>
        <v>1214989000</v>
      </c>
      <c r="L55" s="57">
        <f t="shared" si="12"/>
        <v>63172197.159999996</v>
      </c>
      <c r="M55" s="57">
        <f t="shared" si="12"/>
        <v>63172197.159999996</v>
      </c>
      <c r="N55" s="57">
        <f t="shared" si="12"/>
        <v>1214989000</v>
      </c>
      <c r="O55" s="57">
        <f t="shared" si="12"/>
        <v>0</v>
      </c>
      <c r="P55" s="57">
        <f t="shared" si="12"/>
        <v>0</v>
      </c>
      <c r="Q55" s="57">
        <f t="shared" si="12"/>
        <v>0</v>
      </c>
      <c r="R55" s="57" t="e">
        <f t="shared" si="12"/>
        <v>#VALUE!</v>
      </c>
      <c r="S55" s="57">
        <f t="shared" si="12"/>
        <v>200864036.39999998</v>
      </c>
      <c r="T55" s="58" t="e">
        <f t="shared" si="8"/>
        <v>#VALUE!</v>
      </c>
      <c r="U55" s="57">
        <f>SUM(U27+U54)</f>
        <v>83513476.170000002</v>
      </c>
      <c r="V55" s="58" t="e">
        <f t="shared" si="9"/>
        <v>#VALUE!</v>
      </c>
      <c r="W55" s="57">
        <f>SUM(W27+W54)</f>
        <v>81897099.410000011</v>
      </c>
      <c r="X55" s="58" t="e">
        <f t="shared" si="10"/>
        <v>#VALUE!</v>
      </c>
      <c r="Y55" s="30"/>
      <c r="Z55" s="5"/>
      <c r="AA55" s="5"/>
    </row>
    <row r="56" spans="1:27" ht="14.25" customHeight="1">
      <c r="A56" s="59" t="s">
        <v>126</v>
      </c>
      <c r="B56" s="60"/>
      <c r="C56" s="60"/>
      <c r="D56" s="60"/>
      <c r="E56" s="60"/>
      <c r="F56" s="60"/>
      <c r="G56" s="60"/>
      <c r="H56" s="61"/>
      <c r="I56" s="61"/>
      <c r="J56" s="61"/>
      <c r="K56" s="60"/>
      <c r="L56" s="60"/>
      <c r="M56" s="62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5"/>
      <c r="Z56" s="5"/>
      <c r="AA56" s="5"/>
    </row>
    <row r="57" spans="1:27" ht="14.25" customHeight="1">
      <c r="A57" s="59" t="s">
        <v>127</v>
      </c>
      <c r="B57" s="64"/>
      <c r="C57" s="60"/>
      <c r="D57" s="60"/>
      <c r="E57" s="60"/>
      <c r="F57" s="60"/>
      <c r="G57" s="60"/>
      <c r="H57" s="61"/>
      <c r="I57" s="61"/>
      <c r="J57" s="61"/>
      <c r="K57" s="60"/>
      <c r="L57" s="60"/>
      <c r="M57" s="62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5"/>
      <c r="Z57" s="5"/>
      <c r="AA57" s="5"/>
    </row>
    <row r="58" spans="1:27" ht="14.25" customHeight="1">
      <c r="A58" s="158" t="s">
        <v>128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5"/>
      <c r="Z58" s="5"/>
      <c r="AA58" s="5"/>
    </row>
    <row r="59" spans="1:27" ht="14.25" customHeight="1">
      <c r="A59" s="125" t="s">
        <v>167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3"/>
      <c r="O59" s="63"/>
      <c r="P59" s="63"/>
      <c r="Q59" s="5"/>
      <c r="R59" s="5"/>
      <c r="S59" s="5"/>
      <c r="T59" s="5"/>
      <c r="U59" s="5"/>
      <c r="V59" s="5"/>
      <c r="W59" s="5"/>
      <c r="X59" s="66"/>
      <c r="Y59" s="5"/>
      <c r="Z59" s="5"/>
      <c r="AA59" s="5"/>
    </row>
    <row r="60" spans="1:27" ht="14.25" customHeight="1">
      <c r="A60" s="159"/>
      <c r="B60" s="145"/>
      <c r="C60" s="145"/>
      <c r="D60" s="145"/>
      <c r="E60" s="145"/>
      <c r="F60" s="145"/>
      <c r="G60" s="145"/>
      <c r="H60" s="146"/>
      <c r="I60" s="5"/>
      <c r="J60" s="5"/>
      <c r="K60" s="5"/>
      <c r="L60" s="5"/>
      <c r="M60" s="5"/>
      <c r="N60" s="63"/>
      <c r="O60" s="63"/>
      <c r="P60" s="63"/>
      <c r="Q60" s="5"/>
      <c r="R60" s="5"/>
      <c r="S60" s="5"/>
      <c r="T60" s="5"/>
      <c r="U60" s="5"/>
      <c r="V60" s="5"/>
      <c r="W60" s="5"/>
      <c r="X60" s="66"/>
      <c r="Y60" s="5"/>
      <c r="Z60" s="5"/>
      <c r="AA60" s="5"/>
    </row>
    <row r="61" spans="1:27" ht="14.25" customHeight="1">
      <c r="A61" s="160"/>
      <c r="B61" s="148"/>
      <c r="C61" s="148"/>
      <c r="D61" s="148"/>
      <c r="E61" s="148"/>
      <c r="F61" s="148"/>
      <c r="G61" s="148"/>
      <c r="H61" s="161"/>
      <c r="I61" s="3"/>
      <c r="J61" s="3"/>
      <c r="K61" s="67"/>
      <c r="L61" s="67"/>
      <c r="M61" s="67"/>
      <c r="N61" s="67"/>
      <c r="O61" s="67"/>
      <c r="P61" s="67"/>
      <c r="Q61" s="5"/>
      <c r="R61" s="5"/>
      <c r="S61" s="5"/>
      <c r="T61" s="5"/>
      <c r="U61" s="5"/>
      <c r="V61" s="5"/>
      <c r="W61" s="5"/>
      <c r="X61" s="66"/>
      <c r="Y61" s="30"/>
      <c r="Z61" s="5"/>
      <c r="AA61" s="5"/>
    </row>
    <row r="62" spans="1:27" ht="14.25" customHeight="1">
      <c r="A62" s="162"/>
      <c r="B62" s="163"/>
      <c r="C62" s="163"/>
      <c r="D62" s="163"/>
      <c r="E62" s="163"/>
      <c r="F62" s="163"/>
      <c r="G62" s="163"/>
      <c r="H62" s="164"/>
      <c r="I62" s="3"/>
      <c r="J62" s="3"/>
      <c r="K62" s="67"/>
      <c r="L62" s="67"/>
      <c r="M62" s="67"/>
      <c r="N62" s="67"/>
      <c r="O62" s="67"/>
      <c r="P62" s="67"/>
      <c r="Q62" s="5"/>
      <c r="R62" s="5"/>
      <c r="S62" s="5"/>
      <c r="T62" s="5"/>
      <c r="U62" s="68"/>
      <c r="V62" s="5"/>
      <c r="W62" s="5"/>
      <c r="X62" s="66"/>
      <c r="Y62" s="30"/>
      <c r="Z62" s="5"/>
      <c r="AA62" s="5"/>
    </row>
    <row r="63" spans="1:27" ht="14.25" customHeight="1">
      <c r="A63" s="69"/>
      <c r="B63" s="69"/>
      <c r="C63" s="69"/>
      <c r="D63" s="63"/>
      <c r="E63" s="63"/>
      <c r="F63" s="63"/>
      <c r="G63" s="63"/>
      <c r="H63" s="3"/>
      <c r="I63" s="3"/>
      <c r="J63" s="3"/>
      <c r="K63" s="67"/>
      <c r="L63" s="67"/>
      <c r="M63" s="67"/>
      <c r="N63" s="67"/>
      <c r="O63" s="67"/>
      <c r="P63" s="67"/>
      <c r="Q63" s="5"/>
      <c r="R63" s="5"/>
      <c r="S63" s="5"/>
      <c r="T63" s="5"/>
      <c r="U63" s="68"/>
      <c r="V63" s="5"/>
      <c r="W63" s="5"/>
      <c r="X63" s="66"/>
      <c r="Y63" s="30"/>
      <c r="Z63" s="5"/>
      <c r="AA63" s="5"/>
    </row>
    <row r="64" spans="1:27" ht="14.25" customHeight="1">
      <c r="A64" s="69"/>
      <c r="B64" s="69"/>
      <c r="C64" s="69"/>
      <c r="D64" s="63"/>
      <c r="E64" s="63"/>
      <c r="F64" s="63"/>
      <c r="G64" s="63"/>
      <c r="H64" s="3"/>
      <c r="I64" s="3"/>
      <c r="J64" s="3"/>
      <c r="K64" s="67"/>
      <c r="L64" s="67"/>
      <c r="M64" s="67"/>
      <c r="N64" s="67"/>
      <c r="O64" s="67"/>
      <c r="P64" s="67"/>
      <c r="Q64" s="5"/>
      <c r="R64" s="5"/>
      <c r="S64" s="5"/>
      <c r="T64" s="5"/>
      <c r="U64" s="68"/>
      <c r="V64" s="5"/>
      <c r="W64" s="5"/>
      <c r="X64" s="66"/>
      <c r="Y64" s="30"/>
      <c r="Z64" s="5"/>
      <c r="AA64" s="5"/>
    </row>
    <row r="65" spans="1:27" ht="14.25" customHeight="1">
      <c r="A65" s="70"/>
      <c r="B65" s="70"/>
      <c r="C65" s="70"/>
      <c r="D65" s="70"/>
      <c r="E65" s="70"/>
      <c r="F65" s="70"/>
      <c r="G65" s="63"/>
      <c r="H65" s="3"/>
      <c r="I65" s="3"/>
      <c r="J65" s="3"/>
      <c r="K65" s="67"/>
      <c r="L65" s="63"/>
      <c r="M65" s="63"/>
      <c r="N65" s="63"/>
      <c r="O65" s="63"/>
      <c r="P65" s="63"/>
      <c r="Q65" s="5"/>
      <c r="R65" s="5"/>
      <c r="S65" s="5"/>
      <c r="T65" s="5"/>
      <c r="U65" s="68"/>
      <c r="V65" s="5"/>
      <c r="W65" s="5"/>
      <c r="X65" s="63"/>
      <c r="Y65" s="5"/>
      <c r="Z65" s="5"/>
      <c r="AA65" s="5"/>
    </row>
    <row r="66" spans="1:27" ht="14.25" customHeight="1">
      <c r="A66" s="70"/>
      <c r="B66" s="70"/>
      <c r="C66" s="70"/>
      <c r="D66" s="70"/>
      <c r="E66" s="70"/>
      <c r="F66" s="70"/>
      <c r="G66" s="63"/>
      <c r="H66" s="3"/>
      <c r="I66" s="3"/>
      <c r="J66" s="3"/>
      <c r="K66" s="67"/>
      <c r="L66" s="63"/>
      <c r="M66" s="63"/>
      <c r="N66" s="63"/>
      <c r="O66" s="63"/>
      <c r="P66" s="63"/>
      <c r="Q66" s="5"/>
      <c r="R66" s="5"/>
      <c r="S66" s="5"/>
      <c r="T66" s="5"/>
      <c r="U66" s="5"/>
      <c r="V66" s="5"/>
      <c r="W66" s="5"/>
      <c r="X66" s="63"/>
      <c r="Y66" s="5"/>
      <c r="Z66" s="5"/>
      <c r="AA66" s="5"/>
    </row>
    <row r="67" spans="1:27" ht="15.75" customHeight="1">
      <c r="A67" s="70"/>
      <c r="B67" s="70"/>
      <c r="C67" s="70"/>
      <c r="D67" s="70"/>
      <c r="E67" s="70"/>
      <c r="F67" s="70"/>
      <c r="G67" s="63"/>
      <c r="H67" s="3"/>
      <c r="I67" s="3"/>
      <c r="J67" s="3"/>
      <c r="K67" s="63"/>
      <c r="L67" s="63"/>
      <c r="M67" s="63"/>
      <c r="N67" s="63"/>
      <c r="O67" s="63"/>
      <c r="P67" s="63"/>
      <c r="Q67" s="71" t="s">
        <v>34</v>
      </c>
      <c r="R67" s="71"/>
      <c r="S67" s="72"/>
      <c r="T67" s="71" t="s">
        <v>35</v>
      </c>
      <c r="U67" s="71"/>
      <c r="V67" s="66"/>
      <c r="W67" s="73" t="s">
        <v>129</v>
      </c>
      <c r="X67" s="63"/>
      <c r="Y67" s="121"/>
      <c r="Z67" s="5"/>
      <c r="AA67" s="5"/>
    </row>
    <row r="68" spans="1:27" ht="14.25" customHeight="1">
      <c r="A68" s="70"/>
      <c r="B68" s="70"/>
      <c r="C68" s="70"/>
      <c r="D68" s="70"/>
      <c r="E68" s="70"/>
      <c r="F68" s="70"/>
      <c r="G68" s="63"/>
      <c r="H68" s="3"/>
      <c r="I68" s="3"/>
      <c r="J68" s="3"/>
      <c r="K68" s="74"/>
      <c r="L68" s="74"/>
      <c r="M68" s="74"/>
      <c r="N68" s="74"/>
      <c r="O68" s="74"/>
      <c r="P68" s="74"/>
      <c r="Q68" s="75">
        <v>1</v>
      </c>
      <c r="R68" s="116">
        <v>0</v>
      </c>
      <c r="S68" s="66"/>
      <c r="T68" s="77">
        <v>1</v>
      </c>
      <c r="U68" s="76">
        <f>U16+U19+U20+U22+U23+U24+U26</f>
        <v>70650663.379999995</v>
      </c>
      <c r="V68" s="66"/>
      <c r="W68" s="78">
        <f t="shared" ref="W68:W70" si="13">U68-R68</f>
        <v>70650663.379999995</v>
      </c>
      <c r="X68" s="63"/>
      <c r="Y68" s="121"/>
      <c r="Z68" s="5"/>
      <c r="AA68" s="5"/>
    </row>
    <row r="69" spans="1:27" ht="14.25" customHeight="1">
      <c r="A69" s="1"/>
      <c r="B69" s="79"/>
      <c r="C69" s="79"/>
      <c r="D69" s="79"/>
      <c r="E69" s="1"/>
      <c r="F69" s="1"/>
      <c r="G69" s="1"/>
      <c r="H69" s="2"/>
      <c r="I69" s="2"/>
      <c r="J69" s="3"/>
      <c r="K69" s="80"/>
      <c r="L69" s="80"/>
      <c r="M69" s="80"/>
      <c r="N69" s="80"/>
      <c r="O69" s="80"/>
      <c r="P69" s="80"/>
      <c r="Q69" s="81">
        <v>3</v>
      </c>
      <c r="R69" s="117">
        <v>0</v>
      </c>
      <c r="S69" s="83"/>
      <c r="T69" s="84">
        <v>3</v>
      </c>
      <c r="U69" s="82">
        <f>U14+U15+U17+U18+U21+U25+U34+U36+U40+U41+U42+U44+U45+U46+U48+U50+U51+U53</f>
        <v>12862812.790000001</v>
      </c>
      <c r="V69" s="85"/>
      <c r="W69" s="86">
        <f t="shared" si="13"/>
        <v>12862812.790000001</v>
      </c>
      <c r="X69" s="1"/>
      <c r="Y69" s="121"/>
      <c r="Z69" s="5"/>
      <c r="AA69" s="5"/>
    </row>
    <row r="70" spans="1:27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87">
        <v>4</v>
      </c>
      <c r="R70" s="118">
        <v>0</v>
      </c>
      <c r="S70" s="83"/>
      <c r="T70" s="89">
        <v>4</v>
      </c>
      <c r="U70" s="118">
        <f>U52+U49+U47+U43+U39+U38+U37+U35+U33+U32+U31+U30</f>
        <v>0</v>
      </c>
      <c r="V70" s="90"/>
      <c r="W70" s="91">
        <f t="shared" si="13"/>
        <v>0</v>
      </c>
      <c r="X70" s="5"/>
      <c r="Y70" s="5"/>
      <c r="Z70" s="5"/>
      <c r="AA70" s="5"/>
    </row>
    <row r="71" spans="1:27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165" t="s">
        <v>130</v>
      </c>
      <c r="L71" s="166"/>
      <c r="M71" s="166"/>
      <c r="N71" s="167"/>
      <c r="O71" s="5"/>
      <c r="P71" s="5"/>
      <c r="Q71" s="152" t="s">
        <v>131</v>
      </c>
      <c r="R71" s="143"/>
      <c r="S71" s="63"/>
      <c r="T71" s="153" t="s">
        <v>132</v>
      </c>
      <c r="U71" s="143"/>
      <c r="V71" s="90"/>
      <c r="W71" s="85"/>
      <c r="X71" s="5"/>
      <c r="Y71" s="5"/>
      <c r="Z71" s="5"/>
      <c r="AA71" s="5"/>
    </row>
    <row r="72" spans="1:27" ht="14.25" customHeight="1">
      <c r="A72" s="5"/>
      <c r="B72" s="5"/>
      <c r="C72" s="5" t="s">
        <v>133</v>
      </c>
      <c r="D72" s="5"/>
      <c r="E72" s="5"/>
      <c r="F72" s="168" t="s">
        <v>134</v>
      </c>
      <c r="G72" s="148"/>
      <c r="H72" s="148"/>
      <c r="I72" s="148"/>
      <c r="J72" s="5"/>
      <c r="K72" s="92"/>
      <c r="L72" s="92"/>
      <c r="M72" s="92"/>
      <c r="N72" s="92"/>
      <c r="O72" s="5"/>
      <c r="P72" s="5"/>
      <c r="Q72" s="74"/>
      <c r="R72" s="74"/>
      <c r="S72" s="74"/>
      <c r="T72" s="13"/>
      <c r="U72" s="85"/>
      <c r="V72" s="90"/>
      <c r="W72" s="5"/>
      <c r="X72" s="68"/>
      <c r="Y72" s="5"/>
      <c r="Z72" s="5"/>
      <c r="AA72" s="5"/>
    </row>
    <row r="73" spans="1:27" ht="14.25" customHeight="1">
      <c r="A73" s="5"/>
      <c r="B73" s="5"/>
      <c r="C73" s="5" t="s">
        <v>135</v>
      </c>
      <c r="D73" s="5"/>
      <c r="E73" s="5"/>
      <c r="F73" s="5" t="s">
        <v>135</v>
      </c>
      <c r="G73" s="5"/>
      <c r="H73" s="5"/>
      <c r="I73" s="5"/>
      <c r="J73" s="5"/>
      <c r="K73" s="92"/>
      <c r="L73" s="92" t="s">
        <v>135</v>
      </c>
      <c r="M73" s="92"/>
      <c r="N73" s="92"/>
      <c r="O73" s="5"/>
      <c r="P73" s="5"/>
      <c r="Q73" s="80"/>
      <c r="R73" s="80"/>
      <c r="S73" s="80"/>
      <c r="T73" s="93" t="s">
        <v>136</v>
      </c>
      <c r="U73" s="94">
        <f>SUM(U68:U70)</f>
        <v>83513476.170000002</v>
      </c>
      <c r="V73" s="5"/>
      <c r="W73" s="68"/>
      <c r="X73" s="68"/>
      <c r="Y73" s="68"/>
      <c r="Z73" s="5"/>
      <c r="AA73" s="5"/>
    </row>
    <row r="74" spans="1:27" ht="14.25" customHeight="1">
      <c r="A74" s="5"/>
      <c r="B74" s="5"/>
      <c r="C74" s="5">
        <v>1</v>
      </c>
      <c r="D74" s="30" t="e">
        <f>W16+#REF!+W19+W20+W22+W24+#REF!+W26+#REF!</f>
        <v>#REF!</v>
      </c>
      <c r="E74" s="5"/>
      <c r="F74" s="5">
        <v>1</v>
      </c>
      <c r="G74" s="30" t="e">
        <f>S16+#REF!+S19+S20+S22+S24+#REF!+S26+#REF!</f>
        <v>#REF!</v>
      </c>
      <c r="H74" s="5"/>
      <c r="I74" s="5"/>
      <c r="J74" s="5"/>
      <c r="K74" s="95" t="s">
        <v>137</v>
      </c>
      <c r="L74" s="95">
        <v>1</v>
      </c>
      <c r="M74" s="96" t="e">
        <f>L16+#REF!+L19+L20+L22+L24+#REF!+L26+#REF!</f>
        <v>#REF!</v>
      </c>
      <c r="N74" s="97" t="e">
        <f>M74-M75+Q55</f>
        <v>#REF!</v>
      </c>
      <c r="O74" s="5"/>
      <c r="P74" s="5"/>
      <c r="Q74" s="5"/>
      <c r="R74" s="98"/>
      <c r="S74" s="5"/>
      <c r="T74" s="5"/>
      <c r="U74" s="5"/>
      <c r="V74" s="5"/>
      <c r="W74" s="5"/>
      <c r="X74" s="68"/>
      <c r="Y74" s="5"/>
      <c r="Z74" s="5"/>
      <c r="AA74" s="5"/>
    </row>
    <row r="75" spans="1:27" ht="14.25" customHeight="1">
      <c r="A75" s="5"/>
      <c r="B75" s="5"/>
      <c r="C75" s="5">
        <v>3</v>
      </c>
      <c r="D75" s="30" t="e">
        <f>W14+W15+W17+W21+#REF!+W25+#REF!+#REF!+#REF!+W34+#REF!+W36+#REF!+W39+#REF!+W41+#REF!+W42+#REF!+#REF!+#REF!+W45+#REF!+W46+#REF!+W48+W50+#REF!</f>
        <v>#REF!</v>
      </c>
      <c r="E75" s="5"/>
      <c r="F75" s="5">
        <v>3</v>
      </c>
      <c r="G75" s="30" t="e">
        <f>S14+S15+S17+S21+#REF!+S25+#REF!+#REF!+#REF!+S34+#REF!+S36+#REF!+S39+#REF!+S41+#REF!+S42+#REF!+#REF!+#REF!+S45+#REF!+S46+#REF!+S48+S50+#REF!</f>
        <v>#REF!</v>
      </c>
      <c r="H75" s="5"/>
      <c r="I75" s="5"/>
      <c r="J75" s="5"/>
      <c r="K75" s="92" t="s">
        <v>138</v>
      </c>
      <c r="L75" s="92">
        <v>1</v>
      </c>
      <c r="M75" s="99" t="e">
        <f>M16+#REF!+M19+M20+M22+M24+#REF!+M26+#REF!</f>
        <v>#REF!</v>
      </c>
      <c r="N75" s="92"/>
      <c r="O75" s="5"/>
      <c r="P75" s="5"/>
      <c r="Q75" s="5"/>
      <c r="R75" s="98"/>
      <c r="S75" s="5"/>
      <c r="T75" s="5"/>
      <c r="U75" s="5"/>
      <c r="V75" s="5"/>
      <c r="W75" s="5"/>
      <c r="X75" s="68"/>
      <c r="Y75" s="68"/>
      <c r="Z75" s="5"/>
      <c r="AA75" s="5"/>
    </row>
    <row r="76" spans="1:27" ht="14.25" customHeight="1">
      <c r="A76" s="5"/>
      <c r="B76" s="5"/>
      <c r="C76" s="5">
        <v>4</v>
      </c>
      <c r="D76" s="100" t="e">
        <f>#REF!+#REF!+#REF!+#REF!+#REF!+#REF!+W35+W37+W40+#REF!+W43+#REF!+W47+#REF!+W49+#REF!</f>
        <v>#REF!</v>
      </c>
      <c r="E76" s="5"/>
      <c r="F76" s="5">
        <v>4</v>
      </c>
      <c r="G76" s="30" t="e">
        <f>#REF!+#REF!+#REF!+#REF!+#REF!+#REF!+S35+S37+S40+#REF!+S43+#REF!+S47+#REF!+S49+#REF!</f>
        <v>#REF!</v>
      </c>
      <c r="H76" s="5"/>
      <c r="I76" s="5"/>
      <c r="J76" s="5"/>
      <c r="K76" s="92"/>
      <c r="L76" s="92"/>
      <c r="M76" s="92"/>
      <c r="N76" s="92"/>
      <c r="O76" s="5"/>
      <c r="P76" s="5"/>
      <c r="Q76" s="5"/>
      <c r="R76" s="98"/>
      <c r="S76" s="5"/>
      <c r="T76" s="101" t="s">
        <v>139</v>
      </c>
      <c r="U76" s="102" t="e">
        <f>U14+U15+U17+U21+#REF!+U25</f>
        <v>#REF!</v>
      </c>
      <c r="V76" s="5"/>
      <c r="W76" s="121"/>
      <c r="X76" s="68"/>
      <c r="Y76" s="5"/>
      <c r="Z76" s="5"/>
      <c r="AA76" s="5"/>
    </row>
    <row r="77" spans="1:2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92"/>
      <c r="L77" s="92"/>
      <c r="M77" s="97" t="e">
        <f>M74-M75</f>
        <v>#REF!</v>
      </c>
      <c r="N77" s="92"/>
      <c r="O77" s="5"/>
      <c r="P77" s="5"/>
      <c r="Q77" s="5"/>
      <c r="R77" s="5"/>
      <c r="S77" s="5"/>
      <c r="T77" s="101" t="s">
        <v>140</v>
      </c>
      <c r="U77" s="102" t="e">
        <f>#REF!+#REF!+#REF!+U37+U39+U41+U42+U43+#REF!+#REF!</f>
        <v>#REF!</v>
      </c>
      <c r="V77" s="68"/>
      <c r="W77" s="121"/>
      <c r="X77" s="68"/>
      <c r="Y77" s="5"/>
      <c r="Z77" s="5"/>
      <c r="AA77" s="5"/>
    </row>
    <row r="78" spans="1:27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92"/>
      <c r="L78" s="92"/>
      <c r="M78" s="92"/>
      <c r="N78" s="92"/>
      <c r="O78" s="5"/>
      <c r="P78" s="5"/>
      <c r="Q78" s="5"/>
      <c r="R78" s="5"/>
      <c r="S78" s="5"/>
      <c r="T78" s="101" t="s">
        <v>136</v>
      </c>
      <c r="U78" s="102" t="e">
        <f>U76+U77</f>
        <v>#REF!</v>
      </c>
      <c r="V78" s="68"/>
      <c r="W78" s="68"/>
      <c r="X78" s="68"/>
      <c r="Y78" s="5"/>
      <c r="Z78" s="5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92"/>
      <c r="L79" s="92" t="s">
        <v>141</v>
      </c>
      <c r="M79" s="92"/>
      <c r="N79" s="92"/>
      <c r="O79" s="5"/>
      <c r="P79" s="5"/>
      <c r="Q79" s="5"/>
      <c r="R79" s="5"/>
      <c r="S79" s="5"/>
      <c r="T79" s="5"/>
      <c r="U79" s="5"/>
      <c r="V79" s="5"/>
      <c r="W79" s="5"/>
      <c r="X79" s="5"/>
      <c r="Y79" s="133"/>
      <c r="Z79" s="133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95" t="s">
        <v>137</v>
      </c>
      <c r="L80" s="95">
        <v>3</v>
      </c>
      <c r="M80" s="96" t="e">
        <f>L14+L15+L17+L21+#REF!+L25+#REF!+#REF!+#REF!+L34+#REF!+L36+#REF!+L39+#REF!+L41+#REF!+L42+#REF!+#REF!+#REF!+L45+#REF!+L46+#REF!+L48+L50+#REF!</f>
        <v>#REF!</v>
      </c>
      <c r="N80" s="97" t="e">
        <f>M80-M81</f>
        <v>#REF!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92" t="s">
        <v>142</v>
      </c>
      <c r="L81" s="92">
        <v>3</v>
      </c>
      <c r="M81" s="99" t="e">
        <f>M14+M15+M17+M21+#REF!+M25+#REF!+#REF!+#REF!+M34+#REF!+M36+#REF!+M39+#REF!+M41+#REF!+M42+#REF!+#REF!+#REF!+M45+#REF!+M46+#REF!+M48+M50+#REF!</f>
        <v>#REF!</v>
      </c>
      <c r="N81" s="9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68"/>
      <c r="E82" s="5"/>
      <c r="F82" s="5"/>
      <c r="G82" s="5"/>
      <c r="H82" s="5"/>
      <c r="I82" s="5"/>
      <c r="J82" s="5"/>
      <c r="K82" s="92"/>
      <c r="L82" s="92"/>
      <c r="M82" s="92"/>
      <c r="N82" s="9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92"/>
      <c r="L83" s="92"/>
      <c r="M83" s="97" t="e">
        <f>M80-M81</f>
        <v>#REF!</v>
      </c>
      <c r="N83" s="9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92"/>
      <c r="L84" s="92"/>
      <c r="M84" s="92"/>
      <c r="N84" s="9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92"/>
      <c r="L85" s="92" t="s">
        <v>135</v>
      </c>
      <c r="M85" s="92"/>
      <c r="N85" s="9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95" t="s">
        <v>143</v>
      </c>
      <c r="L86" s="95">
        <v>4</v>
      </c>
      <c r="M86" s="96" t="e">
        <f>#REF!+#REF!+#REF!+#REF!+#REF!+#REF!+L35+L37+L40+#REF!+L43+#REF!+L47+#REF!+L49+#REF!</f>
        <v>#REF!</v>
      </c>
      <c r="N86" s="97" t="e">
        <f>M86-M87</f>
        <v>#REF!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92" t="s">
        <v>144</v>
      </c>
      <c r="L87" s="92">
        <v>4</v>
      </c>
      <c r="M87" s="99" t="e">
        <f>#REF!+#REF!+#REF!+#REF!+#REF!+#REF!+M35+M37+M40+#REF!+M43+#REF!+M47+#REF!+M49+#REF!</f>
        <v>#REF!</v>
      </c>
      <c r="N87" s="9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92"/>
      <c r="L88" s="92"/>
      <c r="M88" s="92"/>
      <c r="N88" s="97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8" t="e">
        <f>M86-M87</f>
        <v>#REF!</v>
      </c>
      <c r="N89" s="5"/>
      <c r="O89" s="5"/>
      <c r="P89" s="5"/>
      <c r="Q89" s="5"/>
      <c r="R89" s="5"/>
      <c r="S89" s="5"/>
      <c r="T89" s="133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8" t="e">
        <f>N74+N80+N86</f>
        <v>#REF!</v>
      </c>
      <c r="O90" s="5"/>
      <c r="P90" s="5"/>
      <c r="Q90" s="5"/>
      <c r="R90" s="5"/>
      <c r="S90" s="5"/>
      <c r="T90" s="133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33"/>
      <c r="U93" s="137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33"/>
      <c r="U94" s="137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</sheetData>
  <mergeCells count="32">
    <mergeCell ref="T71:U71"/>
    <mergeCell ref="F72:I72"/>
    <mergeCell ref="A12:B12"/>
    <mergeCell ref="C12:C13"/>
    <mergeCell ref="D12:D13"/>
    <mergeCell ref="G12:G13"/>
    <mergeCell ref="J12:J13"/>
    <mergeCell ref="A27:J27"/>
    <mergeCell ref="A54:J54"/>
    <mergeCell ref="A55:J55"/>
    <mergeCell ref="A58:M58"/>
    <mergeCell ref="A60:H62"/>
    <mergeCell ref="K71:N71"/>
    <mergeCell ref="Q71:R71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7"/>
  <sheetViews>
    <sheetView tabSelected="1" zoomScaleNormal="100" workbookViewId="0">
      <selection activeCell="K97" sqref="K97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41" t="s">
        <v>0</v>
      </c>
      <c r="B1" s="142"/>
      <c r="C1" s="142"/>
      <c r="D1" s="142"/>
      <c r="E1" s="142"/>
      <c r="F1" s="14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44" t="s">
        <v>1</v>
      </c>
      <c r="B2" s="145"/>
      <c r="C2" s="145"/>
      <c r="D2" s="145"/>
      <c r="E2" s="145"/>
      <c r="F2" s="14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44" t="s">
        <v>2</v>
      </c>
      <c r="B3" s="145"/>
      <c r="C3" s="145"/>
      <c r="D3" s="145"/>
      <c r="E3" s="145"/>
      <c r="F3" s="14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41" t="s">
        <v>145</v>
      </c>
      <c r="B4" s="142"/>
      <c r="C4" s="142"/>
      <c r="D4" s="142"/>
      <c r="E4" s="142"/>
      <c r="F4" s="14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41" t="s">
        <v>200</v>
      </c>
      <c r="B6" s="142"/>
      <c r="C6" s="142"/>
      <c r="D6" s="142"/>
      <c r="E6" s="142"/>
      <c r="F6" s="14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70" t="s">
        <v>201</v>
      </c>
      <c r="B7" s="142"/>
      <c r="C7" s="142"/>
      <c r="D7" s="142"/>
      <c r="E7" s="142"/>
      <c r="F7" s="14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9"/>
      <c r="B8" s="148"/>
      <c r="C8" s="148"/>
      <c r="D8" s="148"/>
      <c r="E8" s="148"/>
      <c r="F8" s="148"/>
      <c r="G8" s="1"/>
      <c r="H8" s="2"/>
      <c r="I8" s="2"/>
      <c r="J8" s="119"/>
      <c r="K8" s="1"/>
      <c r="L8" s="1"/>
      <c r="M8" s="1"/>
      <c r="N8" s="1"/>
      <c r="O8" s="1"/>
      <c r="P8" s="1"/>
      <c r="Q8" s="1"/>
      <c r="R8" s="1"/>
      <c r="S8" s="1"/>
      <c r="T8" s="1"/>
      <c r="U8" s="120"/>
      <c r="V8" s="5"/>
      <c r="W8" s="5"/>
      <c r="X8" s="5"/>
      <c r="Y8" s="5"/>
      <c r="Z8" s="5"/>
      <c r="AA8" s="5"/>
    </row>
    <row r="9" spans="1:27" ht="14.25" customHeight="1">
      <c r="A9" s="147" t="s">
        <v>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9.5" customHeight="1">
      <c r="A11" s="151" t="s">
        <v>8</v>
      </c>
      <c r="B11" s="142"/>
      <c r="C11" s="142"/>
      <c r="D11" s="142"/>
      <c r="E11" s="142"/>
      <c r="F11" s="142"/>
      <c r="G11" s="142"/>
      <c r="H11" s="142"/>
      <c r="I11" s="142"/>
      <c r="J11" s="143"/>
      <c r="K11" s="149" t="s">
        <v>9</v>
      </c>
      <c r="L11" s="151" t="s">
        <v>10</v>
      </c>
      <c r="M11" s="143"/>
      <c r="N11" s="149" t="s">
        <v>11</v>
      </c>
      <c r="O11" s="149" t="s">
        <v>12</v>
      </c>
      <c r="P11" s="151" t="s">
        <v>13</v>
      </c>
      <c r="Q11" s="143"/>
      <c r="R11" s="149" t="s">
        <v>14</v>
      </c>
      <c r="S11" s="151" t="s">
        <v>15</v>
      </c>
      <c r="T11" s="142"/>
      <c r="U11" s="142"/>
      <c r="V11" s="142"/>
      <c r="W11" s="142"/>
      <c r="X11" s="143"/>
      <c r="Y11" s="5"/>
      <c r="Z11" s="5"/>
      <c r="AA11" s="5"/>
    </row>
    <row r="12" spans="1:27" ht="14.25" customHeight="1">
      <c r="A12" s="151" t="s">
        <v>16</v>
      </c>
      <c r="B12" s="143"/>
      <c r="C12" s="149" t="s">
        <v>17</v>
      </c>
      <c r="D12" s="149" t="s">
        <v>18</v>
      </c>
      <c r="E12" s="151" t="s">
        <v>19</v>
      </c>
      <c r="F12" s="143"/>
      <c r="G12" s="149" t="s">
        <v>20</v>
      </c>
      <c r="H12" s="151" t="s">
        <v>21</v>
      </c>
      <c r="I12" s="143"/>
      <c r="J12" s="154" t="s">
        <v>22</v>
      </c>
      <c r="K12" s="150"/>
      <c r="L12" s="14" t="s">
        <v>23</v>
      </c>
      <c r="M12" s="14" t="s">
        <v>24</v>
      </c>
      <c r="N12" s="150"/>
      <c r="O12" s="150"/>
      <c r="P12" s="15" t="s">
        <v>25</v>
      </c>
      <c r="Q12" s="15" t="s">
        <v>26</v>
      </c>
      <c r="R12" s="150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50"/>
      <c r="D13" s="150"/>
      <c r="E13" s="15" t="s">
        <v>32</v>
      </c>
      <c r="F13" s="15" t="s">
        <v>33</v>
      </c>
      <c r="G13" s="150"/>
      <c r="H13" s="15" t="s">
        <v>31</v>
      </c>
      <c r="I13" s="15" t="s">
        <v>19</v>
      </c>
      <c r="J13" s="150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179</v>
      </c>
      <c r="G14" s="33" t="s">
        <v>54</v>
      </c>
      <c r="H14" s="114" t="s">
        <v>148</v>
      </c>
      <c r="I14" s="114" t="s">
        <v>157</v>
      </c>
      <c r="J14" s="124">
        <v>3</v>
      </c>
      <c r="K14" s="109">
        <v>100000</v>
      </c>
      <c r="L14" s="105">
        <v>0</v>
      </c>
      <c r="M14" s="105">
        <v>100000</v>
      </c>
      <c r="N14" s="26">
        <f t="shared" ref="N14:N38" si="0">K14+L14-M14</f>
        <v>0</v>
      </c>
      <c r="O14" s="27"/>
      <c r="P14" s="27"/>
      <c r="Q14" s="27"/>
      <c r="R14" s="26">
        <f t="shared" ref="R14:R38" si="1">N14-O14+P14+Q14</f>
        <v>0</v>
      </c>
      <c r="S14" s="105">
        <v>0</v>
      </c>
      <c r="T14" s="28">
        <f t="shared" ref="T14:T39" si="2">IF(R14&gt;0,S14/R14,0)</f>
        <v>0</v>
      </c>
      <c r="U14" s="111">
        <v>0</v>
      </c>
      <c r="V14" s="28">
        <f t="shared" ref="V14:V39" si="3">IF(R14&gt;0,U14/R14,0)</f>
        <v>0</v>
      </c>
      <c r="W14" s="105">
        <v>0</v>
      </c>
      <c r="X14" s="28">
        <f t="shared" ref="X14:X39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157</v>
      </c>
      <c r="J15" s="124">
        <v>3</v>
      </c>
      <c r="K15" s="109">
        <v>77675500</v>
      </c>
      <c r="L15" s="105">
        <v>245000</v>
      </c>
      <c r="M15" s="105">
        <v>6648419.3799999999</v>
      </c>
      <c r="N15" s="26">
        <f t="shared" si="0"/>
        <v>71272080.620000005</v>
      </c>
      <c r="O15" s="127"/>
      <c r="P15" s="27"/>
      <c r="Q15" s="27"/>
      <c r="R15" s="26">
        <f t="shared" si="1"/>
        <v>71272080.620000005</v>
      </c>
      <c r="S15" s="105">
        <v>71272080.620000005</v>
      </c>
      <c r="T15" s="28">
        <f t="shared" si="2"/>
        <v>1</v>
      </c>
      <c r="U15" s="111">
        <v>71272080.620000005</v>
      </c>
      <c r="V15" s="28">
        <f t="shared" si="3"/>
        <v>1</v>
      </c>
      <c r="W15" s="105">
        <v>71272080.620000005</v>
      </c>
      <c r="X15" s="28">
        <f t="shared" si="4"/>
        <v>1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157</v>
      </c>
      <c r="J16" s="31">
        <v>1</v>
      </c>
      <c r="K16" s="109">
        <v>470000000</v>
      </c>
      <c r="L16" s="105">
        <v>127492994.43000001</v>
      </c>
      <c r="M16" s="105">
        <v>52367663.810000002</v>
      </c>
      <c r="N16" s="26">
        <f t="shared" si="0"/>
        <v>545125330.62000012</v>
      </c>
      <c r="O16" s="27"/>
      <c r="P16" s="27"/>
      <c r="Q16" s="27"/>
      <c r="R16" s="26">
        <f t="shared" si="1"/>
        <v>545125330.62000012</v>
      </c>
      <c r="S16" s="105">
        <v>545125330.62</v>
      </c>
      <c r="T16" s="28">
        <f t="shared" si="2"/>
        <v>0.99999999999999978</v>
      </c>
      <c r="U16" s="107">
        <v>544763294.20000005</v>
      </c>
      <c r="V16" s="28">
        <f t="shared" si="3"/>
        <v>0.99933586571809396</v>
      </c>
      <c r="W16" s="105">
        <v>542180682.83000004</v>
      </c>
      <c r="X16" s="28">
        <f t="shared" si="4"/>
        <v>0.9945982187497121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59</v>
      </c>
      <c r="E17" s="114" t="s">
        <v>90</v>
      </c>
      <c r="F17" s="33" t="s">
        <v>60</v>
      </c>
      <c r="G17" s="33" t="s">
        <v>54</v>
      </c>
      <c r="H17" s="114" t="s">
        <v>173</v>
      </c>
      <c r="I17" s="114" t="s">
        <v>157</v>
      </c>
      <c r="J17" s="31">
        <v>1</v>
      </c>
      <c r="K17" s="109">
        <v>0</v>
      </c>
      <c r="L17" s="105">
        <v>3776491.93</v>
      </c>
      <c r="M17" s="105">
        <v>0</v>
      </c>
      <c r="N17" s="26">
        <f t="shared" si="0"/>
        <v>3776491.93</v>
      </c>
      <c r="O17" s="27"/>
      <c r="P17" s="27"/>
      <c r="Q17" s="27"/>
      <c r="R17" s="26">
        <f t="shared" si="1"/>
        <v>3776491.93</v>
      </c>
      <c r="S17" s="105">
        <v>3776491.93</v>
      </c>
      <c r="T17" s="28">
        <f t="shared" si="2"/>
        <v>1</v>
      </c>
      <c r="U17" s="107">
        <v>3776491.93</v>
      </c>
      <c r="V17" s="28">
        <f t="shared" si="3"/>
        <v>1</v>
      </c>
      <c r="W17" s="105">
        <v>3776491.93</v>
      </c>
      <c r="X17" s="28">
        <f t="shared" si="4"/>
        <v>1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33" t="s">
        <v>59</v>
      </c>
      <c r="E18" s="114" t="s">
        <v>90</v>
      </c>
      <c r="F18" s="33" t="s">
        <v>60</v>
      </c>
      <c r="G18" s="33" t="s">
        <v>54</v>
      </c>
      <c r="H18" s="114" t="s">
        <v>202</v>
      </c>
      <c r="I18" s="114" t="s">
        <v>157</v>
      </c>
      <c r="J18" s="31">
        <v>1</v>
      </c>
      <c r="K18" s="109">
        <v>0</v>
      </c>
      <c r="L18" s="105">
        <v>600</v>
      </c>
      <c r="M18" s="105">
        <v>0</v>
      </c>
      <c r="N18" s="26">
        <f t="shared" si="0"/>
        <v>600</v>
      </c>
      <c r="O18" s="27"/>
      <c r="P18" s="27"/>
      <c r="Q18" s="27"/>
      <c r="R18" s="26">
        <f t="shared" si="1"/>
        <v>600</v>
      </c>
      <c r="S18" s="105">
        <v>565.26</v>
      </c>
      <c r="T18" s="28">
        <f t="shared" si="2"/>
        <v>0.94209999999999994</v>
      </c>
      <c r="U18" s="107">
        <v>565.26</v>
      </c>
      <c r="V18" s="28">
        <f t="shared" si="3"/>
        <v>0.94209999999999994</v>
      </c>
      <c r="W18" s="105">
        <v>565.26</v>
      </c>
      <c r="X18" s="28">
        <f t="shared" si="4"/>
        <v>0.94209999999999994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64</v>
      </c>
      <c r="E19" s="33" t="s">
        <v>65</v>
      </c>
      <c r="F19" s="33" t="s">
        <v>66</v>
      </c>
      <c r="G19" s="33" t="s">
        <v>54</v>
      </c>
      <c r="H19" s="114" t="s">
        <v>148</v>
      </c>
      <c r="I19" s="114" t="s">
        <v>157</v>
      </c>
      <c r="J19" s="124">
        <v>3</v>
      </c>
      <c r="K19" s="109">
        <v>22575500</v>
      </c>
      <c r="L19" s="105">
        <v>46000</v>
      </c>
      <c r="M19" s="105">
        <v>1779267.51</v>
      </c>
      <c r="N19" s="26">
        <f t="shared" si="0"/>
        <v>20842232.489999998</v>
      </c>
      <c r="O19" s="27"/>
      <c r="P19" s="27"/>
      <c r="Q19" s="27"/>
      <c r="R19" s="26">
        <f t="shared" si="1"/>
        <v>20842232.489999998</v>
      </c>
      <c r="S19" s="105">
        <v>20842232.489999998</v>
      </c>
      <c r="T19" s="28">
        <f t="shared" si="2"/>
        <v>1</v>
      </c>
      <c r="U19" s="111">
        <v>20842232.489999998</v>
      </c>
      <c r="V19" s="28">
        <f t="shared" si="3"/>
        <v>1</v>
      </c>
      <c r="W19" s="105">
        <v>20842232.489999998</v>
      </c>
      <c r="X19" s="28">
        <f t="shared" si="4"/>
        <v>1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114" t="s">
        <v>113</v>
      </c>
      <c r="E20" s="33" t="s">
        <v>65</v>
      </c>
      <c r="F20" s="114" t="s">
        <v>180</v>
      </c>
      <c r="G20" s="33" t="s">
        <v>54</v>
      </c>
      <c r="H20" s="114" t="s">
        <v>148</v>
      </c>
      <c r="I20" s="114" t="s">
        <v>157</v>
      </c>
      <c r="J20" s="124">
        <v>3</v>
      </c>
      <c r="K20" s="109">
        <v>50000</v>
      </c>
      <c r="L20" s="105">
        <v>0</v>
      </c>
      <c r="M20" s="105">
        <v>50000</v>
      </c>
      <c r="N20" s="26">
        <f t="shared" si="0"/>
        <v>0</v>
      </c>
      <c r="O20" s="27"/>
      <c r="P20" s="27"/>
      <c r="Q20" s="27"/>
      <c r="R20" s="26">
        <f t="shared" si="1"/>
        <v>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67</v>
      </c>
      <c r="E21" s="33" t="s">
        <v>65</v>
      </c>
      <c r="F21" s="114" t="s">
        <v>158</v>
      </c>
      <c r="G21" s="33" t="s">
        <v>54</v>
      </c>
      <c r="H21" s="114" t="s">
        <v>148</v>
      </c>
      <c r="I21" s="114" t="s">
        <v>157</v>
      </c>
      <c r="J21" s="31">
        <v>1</v>
      </c>
      <c r="K21" s="109">
        <v>123000000</v>
      </c>
      <c r="L21" s="105">
        <v>21656452.25</v>
      </c>
      <c r="M21" s="105">
        <v>8956625.9399999995</v>
      </c>
      <c r="N21" s="26">
        <f t="shared" si="0"/>
        <v>135699826.31</v>
      </c>
      <c r="O21" s="27"/>
      <c r="P21" s="27"/>
      <c r="Q21" s="27"/>
      <c r="R21" s="26">
        <f t="shared" si="1"/>
        <v>135699826.31</v>
      </c>
      <c r="S21" s="105">
        <v>135699826.31</v>
      </c>
      <c r="T21" s="28">
        <f t="shared" si="2"/>
        <v>1</v>
      </c>
      <c r="U21" s="107">
        <v>135669390.22</v>
      </c>
      <c r="V21" s="28">
        <f t="shared" si="3"/>
        <v>0.99977571017717837</v>
      </c>
      <c r="W21" s="105">
        <v>134405290.91999999</v>
      </c>
      <c r="X21" s="28">
        <f t="shared" si="4"/>
        <v>0.9904603017910818</v>
      </c>
      <c r="Y21" s="5"/>
      <c r="Z21" s="5"/>
      <c r="AA21" s="5"/>
    </row>
    <row r="22" spans="1:27" ht="63" customHeight="1">
      <c r="A22" s="22" t="s">
        <v>48</v>
      </c>
      <c r="B22" s="33" t="s">
        <v>49</v>
      </c>
      <c r="C22" s="33" t="s">
        <v>50</v>
      </c>
      <c r="D22" s="33" t="s">
        <v>67</v>
      </c>
      <c r="E22" s="33" t="s">
        <v>65</v>
      </c>
      <c r="F22" s="114" t="s">
        <v>158</v>
      </c>
      <c r="G22" s="33" t="s">
        <v>54</v>
      </c>
      <c r="H22" s="114" t="s">
        <v>173</v>
      </c>
      <c r="I22" s="114" t="s">
        <v>157</v>
      </c>
      <c r="J22" s="31">
        <v>1</v>
      </c>
      <c r="K22" s="109">
        <v>0</v>
      </c>
      <c r="L22" s="105">
        <v>9964563.5199999996</v>
      </c>
      <c r="M22" s="105">
        <v>0</v>
      </c>
      <c r="N22" s="26">
        <f t="shared" si="0"/>
        <v>9964563.5199999996</v>
      </c>
      <c r="O22" s="27"/>
      <c r="P22" s="27"/>
      <c r="Q22" s="27"/>
      <c r="R22" s="26">
        <f t="shared" si="1"/>
        <v>9964563.5199999996</v>
      </c>
      <c r="S22" s="105">
        <v>9964563.5199999996</v>
      </c>
      <c r="T22" s="28">
        <f t="shared" si="2"/>
        <v>1</v>
      </c>
      <c r="U22" s="107">
        <v>9964563.5199999996</v>
      </c>
      <c r="V22" s="28">
        <f t="shared" si="3"/>
        <v>1</v>
      </c>
      <c r="W22" s="105">
        <v>9535594.2899999991</v>
      </c>
      <c r="X22" s="28">
        <f t="shared" si="4"/>
        <v>0.95695052481335374</v>
      </c>
      <c r="Y22" s="5"/>
      <c r="Z22" s="5"/>
      <c r="AA22" s="5"/>
    </row>
    <row r="23" spans="1:27" ht="63" customHeight="1">
      <c r="A23" s="22" t="s">
        <v>48</v>
      </c>
      <c r="B23" s="33" t="s">
        <v>49</v>
      </c>
      <c r="C23" s="33" t="s">
        <v>50</v>
      </c>
      <c r="D23" s="33" t="s">
        <v>67</v>
      </c>
      <c r="E23" s="33" t="s">
        <v>65</v>
      </c>
      <c r="F23" s="114" t="s">
        <v>158</v>
      </c>
      <c r="G23" s="33" t="s">
        <v>54</v>
      </c>
      <c r="H23" s="114" t="s">
        <v>202</v>
      </c>
      <c r="I23" s="114" t="s">
        <v>157</v>
      </c>
      <c r="J23" s="31">
        <v>1</v>
      </c>
      <c r="K23" s="109">
        <v>0</v>
      </c>
      <c r="L23" s="105">
        <v>4700</v>
      </c>
      <c r="M23" s="105">
        <v>0</v>
      </c>
      <c r="N23" s="26">
        <f t="shared" si="0"/>
        <v>4700</v>
      </c>
      <c r="O23" s="27"/>
      <c r="P23" s="27"/>
      <c r="Q23" s="27"/>
      <c r="R23" s="26">
        <f t="shared" si="1"/>
        <v>4700</v>
      </c>
      <c r="S23" s="105">
        <v>4652.32</v>
      </c>
      <c r="T23" s="28">
        <f t="shared" si="2"/>
        <v>0.9898553191489361</v>
      </c>
      <c r="U23" s="107">
        <v>4652.32</v>
      </c>
      <c r="V23" s="28">
        <f t="shared" si="3"/>
        <v>0.9898553191489361</v>
      </c>
      <c r="W23" s="105">
        <v>4652.32</v>
      </c>
      <c r="X23" s="28">
        <f t="shared" si="4"/>
        <v>0.9898553191489361</v>
      </c>
      <c r="Y23" s="5"/>
      <c r="Z23" s="5"/>
      <c r="AA23" s="5"/>
    </row>
    <row r="24" spans="1:27" ht="63" customHeight="1">
      <c r="A24" s="22" t="s">
        <v>48</v>
      </c>
      <c r="B24" s="33" t="s">
        <v>49</v>
      </c>
      <c r="C24" s="33" t="s">
        <v>50</v>
      </c>
      <c r="D24" s="33" t="s">
        <v>69</v>
      </c>
      <c r="E24" s="33" t="s">
        <v>65</v>
      </c>
      <c r="F24" s="33" t="s">
        <v>70</v>
      </c>
      <c r="G24" s="33" t="s">
        <v>54</v>
      </c>
      <c r="H24" s="114" t="s">
        <v>148</v>
      </c>
      <c r="I24" s="114" t="s">
        <v>157</v>
      </c>
      <c r="J24" s="31">
        <v>1</v>
      </c>
      <c r="K24" s="109">
        <v>151000000</v>
      </c>
      <c r="L24" s="105">
        <v>14008217.6</v>
      </c>
      <c r="M24" s="105">
        <v>3104301.36</v>
      </c>
      <c r="N24" s="26">
        <f t="shared" si="0"/>
        <v>161903916.23999998</v>
      </c>
      <c r="O24" s="27"/>
      <c r="P24" s="27"/>
      <c r="Q24" s="27"/>
      <c r="R24" s="26">
        <f t="shared" si="1"/>
        <v>161903916.23999998</v>
      </c>
      <c r="S24" s="105">
        <v>161903916.24000001</v>
      </c>
      <c r="T24" s="28">
        <f t="shared" si="2"/>
        <v>1.0000000000000002</v>
      </c>
      <c r="U24" s="107">
        <v>161902632.88999999</v>
      </c>
      <c r="V24" s="28">
        <f t="shared" si="3"/>
        <v>0.99999207338506813</v>
      </c>
      <c r="W24" s="105">
        <v>161313998.31</v>
      </c>
      <c r="X24" s="28">
        <f t="shared" si="4"/>
        <v>0.99635637022438972</v>
      </c>
      <c r="Y24" s="5"/>
      <c r="Z24" s="5"/>
      <c r="AA24" s="5"/>
    </row>
    <row r="25" spans="1:27" ht="63" customHeight="1">
      <c r="A25" s="22" t="s">
        <v>48</v>
      </c>
      <c r="B25" s="33" t="s">
        <v>49</v>
      </c>
      <c r="C25" s="33" t="s">
        <v>50</v>
      </c>
      <c r="D25" s="33" t="s">
        <v>69</v>
      </c>
      <c r="E25" s="33" t="s">
        <v>65</v>
      </c>
      <c r="F25" s="33" t="s">
        <v>70</v>
      </c>
      <c r="G25" s="33" t="s">
        <v>54</v>
      </c>
      <c r="H25" s="114" t="s">
        <v>173</v>
      </c>
      <c r="I25" s="114" t="s">
        <v>157</v>
      </c>
      <c r="J25" s="31">
        <v>1</v>
      </c>
      <c r="K25" s="109">
        <v>0</v>
      </c>
      <c r="L25" s="105">
        <v>6435067.2300000004</v>
      </c>
      <c r="M25" s="105">
        <v>0</v>
      </c>
      <c r="N25" s="26">
        <f t="shared" si="0"/>
        <v>6435067.2300000004</v>
      </c>
      <c r="O25" s="27"/>
      <c r="P25" s="27"/>
      <c r="Q25" s="27"/>
      <c r="R25" s="26">
        <f t="shared" si="1"/>
        <v>6435067.2300000004</v>
      </c>
      <c r="S25" s="105">
        <v>6435067.2300000004</v>
      </c>
      <c r="T25" s="28">
        <f t="shared" si="2"/>
        <v>1</v>
      </c>
      <c r="U25" s="107">
        <v>6435067.2300000004</v>
      </c>
      <c r="V25" s="28">
        <f t="shared" si="3"/>
        <v>1</v>
      </c>
      <c r="W25" s="105">
        <v>6071455.7199999997</v>
      </c>
      <c r="X25" s="28">
        <f t="shared" si="4"/>
        <v>0.94349530517647739</v>
      </c>
      <c r="Y25" s="5"/>
      <c r="Z25" s="5"/>
      <c r="AA25" s="5"/>
    </row>
    <row r="26" spans="1:27" ht="63" customHeight="1">
      <c r="A26" s="123" t="s">
        <v>48</v>
      </c>
      <c r="B26" s="33" t="s">
        <v>49</v>
      </c>
      <c r="C26" s="114" t="s">
        <v>50</v>
      </c>
      <c r="D26" s="114" t="s">
        <v>69</v>
      </c>
      <c r="E26" s="33" t="s">
        <v>65</v>
      </c>
      <c r="F26" s="33" t="s">
        <v>70</v>
      </c>
      <c r="G26" s="114" t="s">
        <v>54</v>
      </c>
      <c r="H26" s="114" t="s">
        <v>202</v>
      </c>
      <c r="I26" s="114" t="s">
        <v>157</v>
      </c>
      <c r="J26" s="134">
        <v>1</v>
      </c>
      <c r="K26" s="109">
        <v>0</v>
      </c>
      <c r="L26" s="105">
        <v>5000</v>
      </c>
      <c r="M26" s="105">
        <v>0</v>
      </c>
      <c r="N26" s="26">
        <f t="shared" si="0"/>
        <v>5000</v>
      </c>
      <c r="O26" s="27"/>
      <c r="P26" s="27"/>
      <c r="Q26" s="27"/>
      <c r="R26" s="26">
        <f t="shared" si="1"/>
        <v>5000</v>
      </c>
      <c r="S26" s="105">
        <v>4959.82</v>
      </c>
      <c r="T26" s="28">
        <f t="shared" si="2"/>
        <v>0.99196399999999996</v>
      </c>
      <c r="U26" s="107">
        <v>4959.82</v>
      </c>
      <c r="V26" s="28">
        <f t="shared" si="3"/>
        <v>0.99196399999999996</v>
      </c>
      <c r="W26" s="105">
        <v>4959.82</v>
      </c>
      <c r="X26" s="28">
        <f t="shared" si="4"/>
        <v>0.99196399999999996</v>
      </c>
      <c r="Y26" s="5"/>
      <c r="Z26" s="5"/>
      <c r="AA26" s="5"/>
    </row>
    <row r="27" spans="1:27" ht="63" customHeight="1">
      <c r="A27" s="22" t="s">
        <v>48</v>
      </c>
      <c r="B27" s="33" t="s">
        <v>49</v>
      </c>
      <c r="C27" s="33" t="s">
        <v>50</v>
      </c>
      <c r="D27" s="33" t="s">
        <v>71</v>
      </c>
      <c r="E27" s="33" t="s">
        <v>65</v>
      </c>
      <c r="F27" s="33" t="s">
        <v>72</v>
      </c>
      <c r="G27" s="33" t="s">
        <v>54</v>
      </c>
      <c r="H27" s="114" t="s">
        <v>148</v>
      </c>
      <c r="I27" s="114" t="s">
        <v>157</v>
      </c>
      <c r="J27" s="124">
        <v>3</v>
      </c>
      <c r="K27" s="109">
        <v>25475500</v>
      </c>
      <c r="L27" s="105">
        <v>0</v>
      </c>
      <c r="M27" s="105">
        <v>2360630.15</v>
      </c>
      <c r="N27" s="26">
        <f t="shared" si="0"/>
        <v>23114869.850000001</v>
      </c>
      <c r="O27" s="27"/>
      <c r="P27" s="27"/>
      <c r="Q27" s="27"/>
      <c r="R27" s="26">
        <f t="shared" si="1"/>
        <v>23114869.850000001</v>
      </c>
      <c r="S27" s="105">
        <v>23114869.850000001</v>
      </c>
      <c r="T27" s="28">
        <f t="shared" si="2"/>
        <v>1</v>
      </c>
      <c r="U27" s="111">
        <v>23114869.850000001</v>
      </c>
      <c r="V27" s="28">
        <f t="shared" si="3"/>
        <v>1</v>
      </c>
      <c r="W27" s="105">
        <v>23114869.850000001</v>
      </c>
      <c r="X27" s="28">
        <f t="shared" si="4"/>
        <v>1</v>
      </c>
      <c r="Y27" s="5"/>
      <c r="Z27" s="5"/>
      <c r="AA27" s="5"/>
    </row>
    <row r="28" spans="1:27" ht="63" customHeight="1">
      <c r="A28" s="123" t="s">
        <v>48</v>
      </c>
      <c r="B28" s="114" t="s">
        <v>49</v>
      </c>
      <c r="C28" s="114" t="s">
        <v>73</v>
      </c>
      <c r="D28" s="114" t="s">
        <v>195</v>
      </c>
      <c r="E28" s="114" t="s">
        <v>199</v>
      </c>
      <c r="F28" s="114" t="s">
        <v>196</v>
      </c>
      <c r="G28" s="114" t="s">
        <v>54</v>
      </c>
      <c r="H28" s="114" t="s">
        <v>197</v>
      </c>
      <c r="I28" s="114" t="s">
        <v>198</v>
      </c>
      <c r="J28" s="128">
        <v>3</v>
      </c>
      <c r="K28" s="109">
        <v>0</v>
      </c>
      <c r="L28" s="109">
        <v>200000</v>
      </c>
      <c r="M28" s="109">
        <v>0</v>
      </c>
      <c r="N28" s="36">
        <f t="shared" si="0"/>
        <v>200000</v>
      </c>
      <c r="O28" s="140"/>
      <c r="P28" s="140"/>
      <c r="Q28" s="140"/>
      <c r="R28" s="36">
        <f t="shared" si="1"/>
        <v>200000</v>
      </c>
      <c r="S28" s="109">
        <v>199862</v>
      </c>
      <c r="T28" s="38">
        <f t="shared" si="2"/>
        <v>0.99931000000000003</v>
      </c>
      <c r="U28" s="111">
        <v>199862</v>
      </c>
      <c r="V28" s="38">
        <f t="shared" si="3"/>
        <v>0.99931000000000003</v>
      </c>
      <c r="W28" s="109">
        <v>199862</v>
      </c>
      <c r="X28" s="38">
        <f t="shared" si="4"/>
        <v>0.99931000000000003</v>
      </c>
      <c r="Y28" s="5"/>
      <c r="Z28" s="5"/>
      <c r="AA28" s="5"/>
    </row>
    <row r="29" spans="1:27" ht="63" customHeight="1">
      <c r="A29" s="22" t="s">
        <v>48</v>
      </c>
      <c r="B29" s="33" t="s">
        <v>49</v>
      </c>
      <c r="C29" s="33" t="s">
        <v>76</v>
      </c>
      <c r="D29" s="33" t="s">
        <v>77</v>
      </c>
      <c r="E29" s="33" t="s">
        <v>65</v>
      </c>
      <c r="F29" s="33" t="s">
        <v>78</v>
      </c>
      <c r="G29" s="33" t="s">
        <v>54</v>
      </c>
      <c r="H29" s="114" t="s">
        <v>148</v>
      </c>
      <c r="I29" s="114" t="s">
        <v>157</v>
      </c>
      <c r="J29" s="31">
        <v>1</v>
      </c>
      <c r="K29" s="108">
        <v>300000</v>
      </c>
      <c r="L29" s="105">
        <v>193059</v>
      </c>
      <c r="M29" s="105">
        <v>0</v>
      </c>
      <c r="N29" s="26">
        <f t="shared" si="0"/>
        <v>493059</v>
      </c>
      <c r="O29" s="26"/>
      <c r="P29" s="26"/>
      <c r="Q29" s="26"/>
      <c r="R29" s="26">
        <f t="shared" si="1"/>
        <v>493059</v>
      </c>
      <c r="S29" s="109">
        <v>493059</v>
      </c>
      <c r="T29" s="28">
        <f t="shared" si="2"/>
        <v>1</v>
      </c>
      <c r="U29" s="107">
        <v>417894</v>
      </c>
      <c r="V29" s="28">
        <f t="shared" si="3"/>
        <v>0.84755374103302039</v>
      </c>
      <c r="W29" s="105">
        <v>417894</v>
      </c>
      <c r="X29" s="28">
        <f t="shared" si="4"/>
        <v>0.84755374103302039</v>
      </c>
      <c r="Y29" s="5"/>
      <c r="Z29" s="5"/>
      <c r="AA29" s="5"/>
    </row>
    <row r="30" spans="1:27" ht="63" customHeight="1">
      <c r="A30" s="123" t="s">
        <v>48</v>
      </c>
      <c r="B30" s="33" t="s">
        <v>49</v>
      </c>
      <c r="C30" s="114" t="s">
        <v>76</v>
      </c>
      <c r="D30" s="114" t="s">
        <v>77</v>
      </c>
      <c r="E30" s="33" t="s">
        <v>65</v>
      </c>
      <c r="F30" s="33" t="s">
        <v>78</v>
      </c>
      <c r="G30" s="114" t="s">
        <v>54</v>
      </c>
      <c r="H30" s="114" t="s">
        <v>148</v>
      </c>
      <c r="I30" s="114" t="s">
        <v>157</v>
      </c>
      <c r="J30" s="128">
        <v>3</v>
      </c>
      <c r="K30" s="108">
        <v>0</v>
      </c>
      <c r="L30" s="105">
        <v>50000</v>
      </c>
      <c r="M30" s="105">
        <v>50000</v>
      </c>
      <c r="N30" s="26">
        <f t="shared" si="0"/>
        <v>0</v>
      </c>
      <c r="O30" s="26"/>
      <c r="P30" s="26"/>
      <c r="Q30" s="26"/>
      <c r="R30" s="26">
        <f t="shared" si="1"/>
        <v>0</v>
      </c>
      <c r="S30" s="109">
        <v>0</v>
      </c>
      <c r="T30" s="28">
        <f t="shared" si="2"/>
        <v>0</v>
      </c>
      <c r="U30" s="139">
        <v>0</v>
      </c>
      <c r="V30" s="28">
        <f t="shared" si="3"/>
        <v>0</v>
      </c>
      <c r="W30" s="105">
        <v>0</v>
      </c>
      <c r="X30" s="28">
        <f t="shared" si="4"/>
        <v>0</v>
      </c>
      <c r="Y30" s="5"/>
      <c r="Z30" s="5"/>
      <c r="AA30" s="5"/>
    </row>
    <row r="31" spans="1:27" ht="63" customHeight="1">
      <c r="A31" s="123" t="s">
        <v>48</v>
      </c>
      <c r="B31" s="114" t="s">
        <v>49</v>
      </c>
      <c r="C31" s="114" t="s">
        <v>76</v>
      </c>
      <c r="D31" s="114" t="s">
        <v>61</v>
      </c>
      <c r="E31" s="33" t="s">
        <v>65</v>
      </c>
      <c r="F31" s="114" t="s">
        <v>181</v>
      </c>
      <c r="G31" s="114" t="s">
        <v>54</v>
      </c>
      <c r="H31" s="114" t="s">
        <v>148</v>
      </c>
      <c r="I31" s="114" t="s">
        <v>157</v>
      </c>
      <c r="J31" s="134">
        <v>1</v>
      </c>
      <c r="K31" s="108">
        <v>300000</v>
      </c>
      <c r="L31" s="105">
        <v>18040</v>
      </c>
      <c r="M31" s="105">
        <v>0</v>
      </c>
      <c r="N31" s="26">
        <f t="shared" si="0"/>
        <v>318040</v>
      </c>
      <c r="O31" s="26"/>
      <c r="P31" s="26"/>
      <c r="Q31" s="26"/>
      <c r="R31" s="26">
        <f t="shared" si="1"/>
        <v>318040</v>
      </c>
      <c r="S31" s="109">
        <v>318040</v>
      </c>
      <c r="T31" s="28">
        <f t="shared" si="2"/>
        <v>1</v>
      </c>
      <c r="U31" s="107">
        <v>271820</v>
      </c>
      <c r="V31" s="28">
        <f t="shared" si="3"/>
        <v>0.85467236825556536</v>
      </c>
      <c r="W31" s="105">
        <v>271820</v>
      </c>
      <c r="X31" s="28">
        <f t="shared" si="4"/>
        <v>0.85467236825556536</v>
      </c>
      <c r="Y31" s="5"/>
      <c r="Z31" s="5"/>
      <c r="AA31" s="5"/>
    </row>
    <row r="32" spans="1:27" ht="63" customHeight="1">
      <c r="A32" s="22" t="s">
        <v>48</v>
      </c>
      <c r="B32" s="33" t="s">
        <v>49</v>
      </c>
      <c r="C32" s="33" t="s">
        <v>79</v>
      </c>
      <c r="D32" s="33" t="s">
        <v>80</v>
      </c>
      <c r="E32" s="114" t="s">
        <v>159</v>
      </c>
      <c r="F32" s="33" t="s">
        <v>81</v>
      </c>
      <c r="G32" s="114" t="s">
        <v>160</v>
      </c>
      <c r="H32" s="114" t="s">
        <v>148</v>
      </c>
      <c r="I32" s="114" t="s">
        <v>157</v>
      </c>
      <c r="J32" s="31">
        <v>1</v>
      </c>
      <c r="K32" s="109">
        <f>153539737-K33</f>
        <v>147464237</v>
      </c>
      <c r="L32" s="105">
        <f>64628020.86-L33</f>
        <v>63625221.5</v>
      </c>
      <c r="M32" s="105">
        <f>50103714.61-M33</f>
        <v>49482173.25</v>
      </c>
      <c r="N32" s="26">
        <f t="shared" si="0"/>
        <v>161607285.25</v>
      </c>
      <c r="O32" s="26"/>
      <c r="P32" s="26"/>
      <c r="Q32" s="26">
        <f>-23489830.45-41891102.16</f>
        <v>-65380932.609999999</v>
      </c>
      <c r="R32" s="26">
        <f t="shared" si="1"/>
        <v>96226352.640000001</v>
      </c>
      <c r="S32" s="105">
        <f>102683110.64-S33</f>
        <v>96226352.640000001</v>
      </c>
      <c r="T32" s="28">
        <f t="shared" si="2"/>
        <v>1</v>
      </c>
      <c r="U32" s="107">
        <f>102400729.54-U33</f>
        <v>95971154.160000011</v>
      </c>
      <c r="V32" s="28">
        <f t="shared" si="3"/>
        <v>0.99734793564342261</v>
      </c>
      <c r="W32" s="105">
        <f>102400729.54-W33</f>
        <v>95971154.160000011</v>
      </c>
      <c r="X32" s="28">
        <f t="shared" si="4"/>
        <v>0.99734793564342261</v>
      </c>
      <c r="Y32" s="5"/>
      <c r="Z32" s="5"/>
      <c r="AA32" s="5"/>
    </row>
    <row r="33" spans="1:27" ht="63" customHeight="1">
      <c r="A33" s="22" t="s">
        <v>48</v>
      </c>
      <c r="B33" s="33" t="s">
        <v>49</v>
      </c>
      <c r="C33" s="33" t="s">
        <v>79</v>
      </c>
      <c r="D33" s="33" t="s">
        <v>80</v>
      </c>
      <c r="E33" s="114" t="s">
        <v>159</v>
      </c>
      <c r="F33" s="33" t="s">
        <v>81</v>
      </c>
      <c r="G33" s="114" t="s">
        <v>160</v>
      </c>
      <c r="H33" s="114" t="s">
        <v>148</v>
      </c>
      <c r="I33" s="114" t="s">
        <v>157</v>
      </c>
      <c r="J33" s="124">
        <v>3</v>
      </c>
      <c r="K33" s="109">
        <f>6075500</f>
        <v>6075500</v>
      </c>
      <c r="L33" s="105">
        <f>1000000+2799.36</f>
        <v>1002799.36</v>
      </c>
      <c r="M33" s="105">
        <f>621541.36</f>
        <v>621541.36</v>
      </c>
      <c r="N33" s="26">
        <f t="shared" si="0"/>
        <v>6456758</v>
      </c>
      <c r="O33" s="26"/>
      <c r="P33" s="26"/>
      <c r="Q33" s="122"/>
      <c r="R33" s="26">
        <f t="shared" si="1"/>
        <v>6456758</v>
      </c>
      <c r="S33" s="105">
        <f>47721.31+307697.36+6098539.97+2799.36</f>
        <v>6456758</v>
      </c>
      <c r="T33" s="28">
        <f t="shared" si="2"/>
        <v>1</v>
      </c>
      <c r="U33" s="111">
        <f>47721.31+280514.74+6098539.97+2799.36</f>
        <v>6429575.3799999999</v>
      </c>
      <c r="V33" s="28">
        <f t="shared" si="3"/>
        <v>0.99579005129199516</v>
      </c>
      <c r="W33" s="105">
        <f>47721.31+280514.74+6098539.97+2799.36</f>
        <v>6429575.3799999999</v>
      </c>
      <c r="X33" s="28">
        <f t="shared" si="4"/>
        <v>0.99579005129199516</v>
      </c>
      <c r="Y33" s="5"/>
      <c r="Z33" s="5"/>
      <c r="AA33" s="5"/>
    </row>
    <row r="34" spans="1:27" ht="63" customHeight="1">
      <c r="A34" s="22" t="s">
        <v>48</v>
      </c>
      <c r="B34" s="33" t="s">
        <v>49</v>
      </c>
      <c r="C34" s="33" t="s">
        <v>79</v>
      </c>
      <c r="D34" s="33" t="s">
        <v>80</v>
      </c>
      <c r="E34" s="114" t="s">
        <v>159</v>
      </c>
      <c r="F34" s="33" t="s">
        <v>81</v>
      </c>
      <c r="G34" s="114" t="s">
        <v>160</v>
      </c>
      <c r="H34" s="114" t="s">
        <v>173</v>
      </c>
      <c r="I34" s="114" t="s">
        <v>157</v>
      </c>
      <c r="J34" s="31">
        <v>1</v>
      </c>
      <c r="K34" s="109">
        <v>0</v>
      </c>
      <c r="L34" s="105">
        <v>21998509.289999999</v>
      </c>
      <c r="M34" s="105">
        <v>0</v>
      </c>
      <c r="N34" s="26">
        <f t="shared" si="0"/>
        <v>21998509.289999999</v>
      </c>
      <c r="O34" s="26"/>
      <c r="P34" s="26"/>
      <c r="Q34" s="26"/>
      <c r="R34" s="26">
        <f t="shared" si="1"/>
        <v>21998509.289999999</v>
      </c>
      <c r="S34" s="105">
        <v>21998509.289999999</v>
      </c>
      <c r="T34" s="28">
        <f t="shared" si="2"/>
        <v>1</v>
      </c>
      <c r="U34" s="107">
        <v>21998509.289999999</v>
      </c>
      <c r="V34" s="28">
        <f t="shared" si="3"/>
        <v>1</v>
      </c>
      <c r="W34" s="105">
        <v>21998509.289999999</v>
      </c>
      <c r="X34" s="28">
        <f t="shared" si="4"/>
        <v>1</v>
      </c>
      <c r="Y34" s="5"/>
      <c r="Z34" s="5"/>
      <c r="AA34" s="5"/>
    </row>
    <row r="35" spans="1:27" ht="63" customHeight="1">
      <c r="A35" s="22" t="s">
        <v>48</v>
      </c>
      <c r="B35" s="33" t="s">
        <v>49</v>
      </c>
      <c r="C35" s="33" t="s">
        <v>79</v>
      </c>
      <c r="D35" s="33" t="s">
        <v>80</v>
      </c>
      <c r="E35" s="114" t="s">
        <v>159</v>
      </c>
      <c r="F35" s="33" t="s">
        <v>81</v>
      </c>
      <c r="G35" s="114" t="s">
        <v>160</v>
      </c>
      <c r="H35" s="114" t="s">
        <v>202</v>
      </c>
      <c r="I35" s="114" t="s">
        <v>157</v>
      </c>
      <c r="J35" s="31">
        <v>1</v>
      </c>
      <c r="K35" s="109">
        <v>0</v>
      </c>
      <c r="L35" s="105">
        <f>4440828.54-L36</f>
        <v>1876310.2200000002</v>
      </c>
      <c r="M35" s="105">
        <f>2974.32-M36</f>
        <v>0</v>
      </c>
      <c r="N35" s="26">
        <f t="shared" si="0"/>
        <v>1876310.2200000002</v>
      </c>
      <c r="O35" s="26"/>
      <c r="P35" s="26"/>
      <c r="Q35" s="26"/>
      <c r="R35" s="26">
        <f t="shared" si="1"/>
        <v>1876310.2200000002</v>
      </c>
      <c r="S35" s="105">
        <f>4413103.37-S36</f>
        <v>1851559.37</v>
      </c>
      <c r="T35" s="28">
        <f t="shared" si="2"/>
        <v>0.98680876449098054</v>
      </c>
      <c r="U35" s="107">
        <f>4413103.37-U36</f>
        <v>1851559.37</v>
      </c>
      <c r="V35" s="28">
        <f t="shared" si="3"/>
        <v>0.98680876449098054</v>
      </c>
      <c r="W35" s="105">
        <f>4413103.37-W36</f>
        <v>1851559.37</v>
      </c>
      <c r="X35" s="28">
        <f t="shared" si="4"/>
        <v>0.98680876449098054</v>
      </c>
      <c r="Y35" s="5"/>
      <c r="Z35" s="5"/>
      <c r="AA35" s="5"/>
    </row>
    <row r="36" spans="1:27" ht="63" customHeight="1">
      <c r="A36" s="22" t="s">
        <v>48</v>
      </c>
      <c r="B36" s="33" t="s">
        <v>49</v>
      </c>
      <c r="C36" s="33" t="s">
        <v>79</v>
      </c>
      <c r="D36" s="33" t="s">
        <v>80</v>
      </c>
      <c r="E36" s="114" t="s">
        <v>159</v>
      </c>
      <c r="F36" s="33" t="s">
        <v>81</v>
      </c>
      <c r="G36" s="114" t="s">
        <v>160</v>
      </c>
      <c r="H36" s="114" t="s">
        <v>202</v>
      </c>
      <c r="I36" s="114" t="s">
        <v>157</v>
      </c>
      <c r="J36" s="124">
        <v>3</v>
      </c>
      <c r="K36" s="109">
        <v>0</v>
      </c>
      <c r="L36" s="105">
        <f>2558569.68+2974.32+2974.32</f>
        <v>2564518.3199999998</v>
      </c>
      <c r="M36" s="105">
        <v>2974.32</v>
      </c>
      <c r="N36" s="26">
        <f t="shared" si="0"/>
        <v>2561544</v>
      </c>
      <c r="O36" s="26"/>
      <c r="P36" s="26"/>
      <c r="Q36" s="122"/>
      <c r="R36" s="26">
        <f t="shared" si="1"/>
        <v>2561544</v>
      </c>
      <c r="S36" s="105">
        <f>2558569.68+2974.32</f>
        <v>2561544</v>
      </c>
      <c r="T36" s="28">
        <f t="shared" si="2"/>
        <v>1</v>
      </c>
      <c r="U36" s="111">
        <f>2558569.68+2974.32</f>
        <v>2561544</v>
      </c>
      <c r="V36" s="28">
        <f t="shared" si="3"/>
        <v>1</v>
      </c>
      <c r="W36" s="105">
        <f>2558569.68+2974.32</f>
        <v>2561544</v>
      </c>
      <c r="X36" s="28">
        <f t="shared" si="4"/>
        <v>1</v>
      </c>
      <c r="Y36" s="5"/>
      <c r="Z36" s="5"/>
      <c r="AA36" s="5"/>
    </row>
    <row r="37" spans="1:27" ht="63" customHeight="1">
      <c r="A37" s="22" t="s">
        <v>48</v>
      </c>
      <c r="B37" s="23" t="s">
        <v>49</v>
      </c>
      <c r="C37" s="23" t="s">
        <v>83</v>
      </c>
      <c r="D37" s="23" t="s">
        <v>84</v>
      </c>
      <c r="E37" s="104" t="s">
        <v>161</v>
      </c>
      <c r="F37" s="23" t="s">
        <v>85</v>
      </c>
      <c r="G37" s="23" t="s">
        <v>54</v>
      </c>
      <c r="H37" s="104" t="s">
        <v>148</v>
      </c>
      <c r="I37" s="114" t="s">
        <v>157</v>
      </c>
      <c r="J37" s="31">
        <v>1</v>
      </c>
      <c r="K37" s="105">
        <v>152763</v>
      </c>
      <c r="L37" s="105">
        <v>0</v>
      </c>
      <c r="M37" s="105">
        <v>94207.679999999993</v>
      </c>
      <c r="N37" s="26">
        <f t="shared" si="0"/>
        <v>58555.320000000007</v>
      </c>
      <c r="O37" s="26"/>
      <c r="P37" s="26"/>
      <c r="Q37" s="26"/>
      <c r="R37" s="26">
        <f t="shared" si="1"/>
        <v>58555.320000000007</v>
      </c>
      <c r="S37" s="105">
        <v>58555.32</v>
      </c>
      <c r="T37" s="28">
        <f t="shared" si="2"/>
        <v>0.99999999999999989</v>
      </c>
      <c r="U37" s="107">
        <v>58555.32</v>
      </c>
      <c r="V37" s="28">
        <f t="shared" si="3"/>
        <v>0.99999999999999989</v>
      </c>
      <c r="W37" s="105">
        <v>58555.32</v>
      </c>
      <c r="X37" s="28">
        <f t="shared" si="4"/>
        <v>0.99999999999999989</v>
      </c>
      <c r="Y37" s="5"/>
      <c r="Z37" s="5"/>
      <c r="AA37" s="5"/>
    </row>
    <row r="38" spans="1:27" ht="63" customHeight="1">
      <c r="A38" s="22" t="s">
        <v>48</v>
      </c>
      <c r="B38" s="23" t="s">
        <v>49</v>
      </c>
      <c r="C38" s="23" t="s">
        <v>83</v>
      </c>
      <c r="D38" s="23" t="s">
        <v>84</v>
      </c>
      <c r="E38" s="104" t="s">
        <v>161</v>
      </c>
      <c r="F38" s="23" t="s">
        <v>85</v>
      </c>
      <c r="G38" s="23" t="s">
        <v>54</v>
      </c>
      <c r="H38" s="104" t="s">
        <v>148</v>
      </c>
      <c r="I38" s="114" t="s">
        <v>157</v>
      </c>
      <c r="J38" s="135">
        <v>3</v>
      </c>
      <c r="K38" s="105">
        <v>0</v>
      </c>
      <c r="L38" s="105">
        <v>1305554.77</v>
      </c>
      <c r="M38" s="105">
        <v>0</v>
      </c>
      <c r="N38" s="26">
        <f t="shared" si="0"/>
        <v>1305554.77</v>
      </c>
      <c r="O38" s="26"/>
      <c r="P38" s="26"/>
      <c r="Q38" s="26"/>
      <c r="R38" s="26">
        <f t="shared" si="1"/>
        <v>1305554.77</v>
      </c>
      <c r="S38" s="105">
        <v>1305554.77</v>
      </c>
      <c r="T38" s="28">
        <f t="shared" si="2"/>
        <v>1</v>
      </c>
      <c r="U38" s="139">
        <v>1305554.77</v>
      </c>
      <c r="V38" s="28">
        <f t="shared" si="3"/>
        <v>1</v>
      </c>
      <c r="W38" s="105">
        <v>1305554.77</v>
      </c>
      <c r="X38" s="28">
        <f t="shared" si="4"/>
        <v>1</v>
      </c>
      <c r="Y38" s="5"/>
      <c r="Z38" s="5"/>
      <c r="AA38" s="5"/>
    </row>
    <row r="39" spans="1:27" ht="16.5" customHeight="1">
      <c r="A39" s="155" t="s">
        <v>86</v>
      </c>
      <c r="B39" s="142"/>
      <c r="C39" s="142"/>
      <c r="D39" s="142"/>
      <c r="E39" s="142"/>
      <c r="F39" s="142"/>
      <c r="G39" s="142"/>
      <c r="H39" s="142"/>
      <c r="I39" s="142"/>
      <c r="J39" s="143"/>
      <c r="K39" s="39">
        <f t="shared" ref="K39:M39" si="5">SUM(K14:K38)</f>
        <v>1024169000</v>
      </c>
      <c r="L39" s="39">
        <f t="shared" si="5"/>
        <v>276469099.42000002</v>
      </c>
      <c r="M39" s="39">
        <f t="shared" si="5"/>
        <v>125617804.76000001</v>
      </c>
      <c r="N39" s="39">
        <f t="shared" ref="N39:Q39" si="6">SUM(N14:N37)</f>
        <v>1173714739.8899999</v>
      </c>
      <c r="O39" s="39">
        <f t="shared" si="6"/>
        <v>0</v>
      </c>
      <c r="P39" s="39">
        <f t="shared" si="6"/>
        <v>0</v>
      </c>
      <c r="Q39" s="39">
        <f t="shared" si="6"/>
        <v>-65380932.609999999</v>
      </c>
      <c r="R39" s="39">
        <f t="shared" ref="R39:S39" si="7">SUM(R14:R38)</f>
        <v>1109639362.05</v>
      </c>
      <c r="S39" s="39">
        <f t="shared" si="7"/>
        <v>1109614350.5999999</v>
      </c>
      <c r="T39" s="40">
        <f t="shared" si="2"/>
        <v>0.99997745983888509</v>
      </c>
      <c r="U39" s="39">
        <f>SUM(U14:U38)</f>
        <v>1108816828.6400001</v>
      </c>
      <c r="V39" s="40">
        <f t="shared" si="3"/>
        <v>0.99925873807461163</v>
      </c>
      <c r="W39" s="39">
        <f>SUM(W14:W38)</f>
        <v>1103588902.6499999</v>
      </c>
      <c r="X39" s="40">
        <f t="shared" si="4"/>
        <v>0.99454736411943589</v>
      </c>
      <c r="Y39" s="5"/>
      <c r="Z39" s="5"/>
      <c r="AA39" s="5"/>
    </row>
    <row r="40" spans="1:27" ht="1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39"/>
      <c r="L40" s="39"/>
      <c r="M40" s="39"/>
      <c r="N40" s="39"/>
      <c r="O40" s="39"/>
      <c r="P40" s="39"/>
      <c r="Q40" s="39"/>
      <c r="R40" s="39"/>
      <c r="S40" s="39"/>
      <c r="T40" s="40"/>
      <c r="U40" s="39"/>
      <c r="V40" s="40"/>
      <c r="W40" s="39"/>
      <c r="X40" s="40"/>
      <c r="Y40" s="5"/>
      <c r="Z40" s="5"/>
      <c r="AA40" s="5"/>
    </row>
    <row r="41" spans="1:27" ht="1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38"/>
      <c r="U41" s="43"/>
      <c r="V41" s="38"/>
      <c r="W41" s="43"/>
      <c r="X41" s="38"/>
      <c r="Y41" s="5"/>
      <c r="Z41" s="5"/>
      <c r="AA41" s="5"/>
    </row>
    <row r="42" spans="1:27" ht="54" customHeight="1">
      <c r="A42" s="123" t="s">
        <v>87</v>
      </c>
      <c r="B42" s="33" t="s">
        <v>88</v>
      </c>
      <c r="C42" s="114" t="s">
        <v>50</v>
      </c>
      <c r="D42" s="114" t="s">
        <v>98</v>
      </c>
      <c r="E42" s="33" t="s">
        <v>90</v>
      </c>
      <c r="F42" s="114" t="s">
        <v>182</v>
      </c>
      <c r="G42" s="114" t="s">
        <v>54</v>
      </c>
      <c r="H42" s="114" t="s">
        <v>150</v>
      </c>
      <c r="I42" s="114" t="s">
        <v>162</v>
      </c>
      <c r="J42" s="126">
        <v>4</v>
      </c>
      <c r="K42" s="108">
        <v>43418381</v>
      </c>
      <c r="L42" s="105">
        <v>0</v>
      </c>
      <c r="M42" s="105">
        <v>43414420.840000004</v>
      </c>
      <c r="N42" s="26">
        <f t="shared" ref="N42:N83" si="8">K42+L42-M42</f>
        <v>3960.1599999964237</v>
      </c>
      <c r="O42" s="27"/>
      <c r="P42" s="27"/>
      <c r="Q42" s="27"/>
      <c r="R42" s="26">
        <f t="shared" ref="R42:R83" si="9">N42-O42+P42+Q42</f>
        <v>3960.1599999964237</v>
      </c>
      <c r="S42" s="110">
        <v>0</v>
      </c>
      <c r="T42" s="28">
        <f t="shared" ref="T42:T85" si="10">IF(R42&gt;0,S42/R42,0)</f>
        <v>0</v>
      </c>
      <c r="U42" s="113">
        <v>0</v>
      </c>
      <c r="V42" s="28">
        <f t="shared" ref="V42:V85" si="11">IF(R42&gt;0,U42/R42,0)</f>
        <v>0</v>
      </c>
      <c r="W42" s="105">
        <v>0</v>
      </c>
      <c r="X42" s="28">
        <f t="shared" ref="X42:X85" si="12">IF(R42&gt;0,W42/R42,0)</f>
        <v>0</v>
      </c>
      <c r="Y42" s="5"/>
      <c r="Z42" s="5"/>
      <c r="AA42" s="5"/>
    </row>
    <row r="43" spans="1:27" ht="54" customHeight="1">
      <c r="A43" s="123" t="s">
        <v>87</v>
      </c>
      <c r="B43" s="33" t="s">
        <v>88</v>
      </c>
      <c r="C43" s="114" t="s">
        <v>50</v>
      </c>
      <c r="D43" s="114" t="s">
        <v>171</v>
      </c>
      <c r="E43" s="33" t="s">
        <v>90</v>
      </c>
      <c r="F43" s="114" t="s">
        <v>182</v>
      </c>
      <c r="G43" s="114" t="s">
        <v>54</v>
      </c>
      <c r="H43" s="114" t="s">
        <v>150</v>
      </c>
      <c r="I43" s="114" t="s">
        <v>162</v>
      </c>
      <c r="J43" s="126">
        <v>4</v>
      </c>
      <c r="K43" s="108">
        <v>0</v>
      </c>
      <c r="L43" s="105">
        <v>3585427.69</v>
      </c>
      <c r="M43" s="105">
        <v>0</v>
      </c>
      <c r="N43" s="26">
        <f t="shared" si="8"/>
        <v>3585427.69</v>
      </c>
      <c r="O43" s="27"/>
      <c r="P43" s="27"/>
      <c r="Q43" s="27"/>
      <c r="R43" s="26">
        <f t="shared" si="9"/>
        <v>3585427.69</v>
      </c>
      <c r="S43" s="110">
        <v>3585427.69</v>
      </c>
      <c r="T43" s="28">
        <f t="shared" si="10"/>
        <v>1</v>
      </c>
      <c r="U43" s="113">
        <v>2906934.31</v>
      </c>
      <c r="V43" s="28">
        <f t="shared" si="11"/>
        <v>0.81076361353141668</v>
      </c>
      <c r="W43" s="105">
        <v>2906934.31</v>
      </c>
      <c r="X43" s="28">
        <f t="shared" si="12"/>
        <v>0.81076361353141668</v>
      </c>
      <c r="Y43" s="5"/>
      <c r="Z43" s="5"/>
      <c r="AA43" s="5"/>
    </row>
    <row r="44" spans="1:27" ht="54" customHeight="1">
      <c r="A44" s="123" t="s">
        <v>87</v>
      </c>
      <c r="B44" s="33" t="s">
        <v>88</v>
      </c>
      <c r="C44" s="114" t="s">
        <v>50</v>
      </c>
      <c r="D44" s="114" t="s">
        <v>193</v>
      </c>
      <c r="E44" s="33" t="s">
        <v>90</v>
      </c>
      <c r="F44" s="114" t="s">
        <v>182</v>
      </c>
      <c r="G44" s="114" t="s">
        <v>54</v>
      </c>
      <c r="H44" s="114" t="s">
        <v>150</v>
      </c>
      <c r="I44" s="114" t="s">
        <v>162</v>
      </c>
      <c r="J44" s="126">
        <v>4</v>
      </c>
      <c r="K44" s="108">
        <v>0</v>
      </c>
      <c r="L44" s="105">
        <v>2127920.88</v>
      </c>
      <c r="M44" s="105">
        <v>282000</v>
      </c>
      <c r="N44" s="26">
        <f t="shared" si="8"/>
        <v>1845920.88</v>
      </c>
      <c r="O44" s="27"/>
      <c r="P44" s="27"/>
      <c r="Q44" s="27"/>
      <c r="R44" s="26">
        <f t="shared" si="9"/>
        <v>1845920.88</v>
      </c>
      <c r="S44" s="110">
        <v>1471837.17</v>
      </c>
      <c r="T44" s="28">
        <f t="shared" si="10"/>
        <v>0.7973457508102948</v>
      </c>
      <c r="U44" s="113">
        <v>237452.98</v>
      </c>
      <c r="V44" s="28">
        <f t="shared" si="11"/>
        <v>0.12863659681881925</v>
      </c>
      <c r="W44" s="105">
        <v>237452.98</v>
      </c>
      <c r="X44" s="28">
        <f t="shared" si="12"/>
        <v>0.12863659681881925</v>
      </c>
      <c r="Y44" s="5"/>
      <c r="Z44" s="5"/>
      <c r="AA44" s="5"/>
    </row>
    <row r="45" spans="1:27" ht="54" customHeight="1">
      <c r="A45" s="123" t="s">
        <v>87</v>
      </c>
      <c r="B45" s="33" t="s">
        <v>88</v>
      </c>
      <c r="C45" s="114" t="s">
        <v>50</v>
      </c>
      <c r="D45" s="114" t="s">
        <v>152</v>
      </c>
      <c r="E45" s="33" t="s">
        <v>90</v>
      </c>
      <c r="F45" s="114" t="s">
        <v>182</v>
      </c>
      <c r="G45" s="114" t="s">
        <v>54</v>
      </c>
      <c r="H45" s="114" t="s">
        <v>150</v>
      </c>
      <c r="I45" s="114" t="s">
        <v>162</v>
      </c>
      <c r="J45" s="126">
        <v>4</v>
      </c>
      <c r="K45" s="108">
        <v>0</v>
      </c>
      <c r="L45" s="105">
        <v>36029880.039999999</v>
      </c>
      <c r="M45" s="105">
        <v>0</v>
      </c>
      <c r="N45" s="26">
        <f t="shared" si="8"/>
        <v>36029880.039999999</v>
      </c>
      <c r="O45" s="27"/>
      <c r="P45" s="27"/>
      <c r="Q45" s="27"/>
      <c r="R45" s="26">
        <f t="shared" si="9"/>
        <v>36029880.039999999</v>
      </c>
      <c r="S45" s="110">
        <v>36029880.039999999</v>
      </c>
      <c r="T45" s="28">
        <f t="shared" si="10"/>
        <v>1</v>
      </c>
      <c r="U45" s="113">
        <v>11566119.83</v>
      </c>
      <c r="V45" s="28">
        <f t="shared" si="11"/>
        <v>0.32101466386120114</v>
      </c>
      <c r="W45" s="105">
        <v>11566119.83</v>
      </c>
      <c r="X45" s="28">
        <f t="shared" si="12"/>
        <v>0.32101466386120114</v>
      </c>
      <c r="Y45" s="5"/>
      <c r="Z45" s="5"/>
      <c r="AA45" s="5"/>
    </row>
    <row r="46" spans="1:27" ht="54" customHeight="1">
      <c r="A46" s="123" t="s">
        <v>87</v>
      </c>
      <c r="B46" s="33" t="s">
        <v>88</v>
      </c>
      <c r="C46" s="114" t="s">
        <v>50</v>
      </c>
      <c r="D46" s="114" t="s">
        <v>152</v>
      </c>
      <c r="E46" s="33" t="s">
        <v>90</v>
      </c>
      <c r="F46" s="114" t="s">
        <v>182</v>
      </c>
      <c r="G46" s="114" t="s">
        <v>54</v>
      </c>
      <c r="H46" s="114" t="s">
        <v>164</v>
      </c>
      <c r="I46" s="114" t="s">
        <v>162</v>
      </c>
      <c r="J46" s="126">
        <v>4</v>
      </c>
      <c r="K46" s="108">
        <v>0</v>
      </c>
      <c r="L46" s="105">
        <v>5328628.04</v>
      </c>
      <c r="M46" s="105">
        <v>0</v>
      </c>
      <c r="N46" s="26">
        <f t="shared" si="8"/>
        <v>5328628.04</v>
      </c>
      <c r="O46" s="27"/>
      <c r="P46" s="27"/>
      <c r="Q46" s="27"/>
      <c r="R46" s="26">
        <f t="shared" si="9"/>
        <v>5328628.04</v>
      </c>
      <c r="S46" s="110">
        <v>1845671.95</v>
      </c>
      <c r="T46" s="28">
        <f t="shared" si="10"/>
        <v>0.34636907214112844</v>
      </c>
      <c r="U46" s="113">
        <v>152500</v>
      </c>
      <c r="V46" s="28">
        <f t="shared" si="11"/>
        <v>2.8618998897134505E-2</v>
      </c>
      <c r="W46" s="105">
        <v>152500</v>
      </c>
      <c r="X46" s="28">
        <f t="shared" si="12"/>
        <v>2.8618998897134505E-2</v>
      </c>
      <c r="Y46" s="5"/>
      <c r="Z46" s="5"/>
      <c r="AA46" s="5"/>
    </row>
    <row r="47" spans="1:27" ht="54" customHeight="1">
      <c r="A47" s="123" t="s">
        <v>87</v>
      </c>
      <c r="B47" s="33" t="s">
        <v>88</v>
      </c>
      <c r="C47" s="114" t="s">
        <v>50</v>
      </c>
      <c r="D47" s="114" t="s">
        <v>100</v>
      </c>
      <c r="E47" s="33" t="s">
        <v>90</v>
      </c>
      <c r="F47" s="114" t="s">
        <v>183</v>
      </c>
      <c r="G47" s="114" t="s">
        <v>54</v>
      </c>
      <c r="H47" s="114" t="s">
        <v>150</v>
      </c>
      <c r="I47" s="114" t="s">
        <v>162</v>
      </c>
      <c r="J47" s="126">
        <v>4</v>
      </c>
      <c r="K47" s="108">
        <v>100000</v>
      </c>
      <c r="L47" s="105">
        <v>0</v>
      </c>
      <c r="M47" s="105">
        <v>0</v>
      </c>
      <c r="N47" s="26">
        <f t="shared" si="8"/>
        <v>100000</v>
      </c>
      <c r="O47" s="27"/>
      <c r="P47" s="27"/>
      <c r="Q47" s="27"/>
      <c r="R47" s="26">
        <f t="shared" si="9"/>
        <v>100000</v>
      </c>
      <c r="S47" s="110">
        <v>68940</v>
      </c>
      <c r="T47" s="28">
        <f t="shared" si="10"/>
        <v>0.68940000000000001</v>
      </c>
      <c r="U47" s="113">
        <v>68940</v>
      </c>
      <c r="V47" s="28">
        <f t="shared" si="11"/>
        <v>0.68940000000000001</v>
      </c>
      <c r="W47" s="105">
        <v>68940</v>
      </c>
      <c r="X47" s="28">
        <f t="shared" si="12"/>
        <v>0.68940000000000001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51</v>
      </c>
      <c r="E48" s="33" t="s">
        <v>90</v>
      </c>
      <c r="F48" s="114" t="s">
        <v>184</v>
      </c>
      <c r="G48" s="33" t="s">
        <v>54</v>
      </c>
      <c r="H48" s="114" t="s">
        <v>150</v>
      </c>
      <c r="I48" s="114" t="s">
        <v>162</v>
      </c>
      <c r="J48" s="124">
        <v>3</v>
      </c>
      <c r="K48" s="34">
        <f>61151090-K49</f>
        <v>60651090</v>
      </c>
      <c r="L48" s="105">
        <v>4250812.78</v>
      </c>
      <c r="M48" s="105">
        <v>3317612.78</v>
      </c>
      <c r="N48" s="26">
        <f t="shared" si="8"/>
        <v>61584290</v>
      </c>
      <c r="O48" s="26"/>
      <c r="P48" s="26"/>
      <c r="Q48" s="26"/>
      <c r="R48" s="26">
        <f t="shared" si="9"/>
        <v>61584290</v>
      </c>
      <c r="S48" s="108">
        <f>56030631.96-S49</f>
        <v>55616114.480000004</v>
      </c>
      <c r="T48" s="28">
        <f t="shared" si="10"/>
        <v>0.90308931839597406</v>
      </c>
      <c r="U48" s="111">
        <f>51697928.09-U49</f>
        <v>51283410.610000007</v>
      </c>
      <c r="V48" s="28">
        <f t="shared" si="11"/>
        <v>0.83273527404472802</v>
      </c>
      <c r="W48" s="105">
        <f>51615883.53-W49</f>
        <v>51201366.050000004</v>
      </c>
      <c r="X48" s="28">
        <f t="shared" si="12"/>
        <v>0.8314030420745292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114" t="s">
        <v>184</v>
      </c>
      <c r="G49" s="33" t="s">
        <v>54</v>
      </c>
      <c r="H49" s="114" t="s">
        <v>150</v>
      </c>
      <c r="I49" s="114" t="s">
        <v>162</v>
      </c>
      <c r="J49" s="44">
        <v>4</v>
      </c>
      <c r="K49" s="108">
        <f>500000</f>
        <v>500000</v>
      </c>
      <c r="L49" s="105">
        <v>0</v>
      </c>
      <c r="M49" s="105">
        <v>0</v>
      </c>
      <c r="N49" s="26">
        <f t="shared" si="8"/>
        <v>500000</v>
      </c>
      <c r="O49" s="26"/>
      <c r="P49" s="26"/>
      <c r="Q49" s="26"/>
      <c r="R49" s="26">
        <f t="shared" si="9"/>
        <v>500000</v>
      </c>
      <c r="S49" s="105">
        <f>104715.9+28304.26+230634+50863.32</f>
        <v>414517.48000000004</v>
      </c>
      <c r="T49" s="28">
        <f t="shared" si="10"/>
        <v>0.8290349600000001</v>
      </c>
      <c r="U49" s="113">
        <f>104715.9+28304.26+230634+50863.32</f>
        <v>414517.48000000004</v>
      </c>
      <c r="V49" s="28">
        <f t="shared" si="11"/>
        <v>0.8290349600000001</v>
      </c>
      <c r="W49" s="105">
        <f>104715.9+28304.26+230634+50863.32</f>
        <v>414517.48000000004</v>
      </c>
      <c r="X49" s="28">
        <f t="shared" si="12"/>
        <v>0.8290349600000001</v>
      </c>
      <c r="Y49" s="5"/>
      <c r="Z49" s="5"/>
      <c r="AA49" s="5"/>
    </row>
    <row r="50" spans="1:27" ht="54" customHeight="1">
      <c r="A50" s="123" t="s">
        <v>87</v>
      </c>
      <c r="B50" s="33" t="s">
        <v>88</v>
      </c>
      <c r="C50" s="114" t="s">
        <v>50</v>
      </c>
      <c r="D50" s="114" t="s">
        <v>51</v>
      </c>
      <c r="E50" s="33" t="s">
        <v>90</v>
      </c>
      <c r="F50" s="114" t="s">
        <v>184</v>
      </c>
      <c r="G50" s="114" t="s">
        <v>54</v>
      </c>
      <c r="H50" s="114" t="s">
        <v>164</v>
      </c>
      <c r="I50" s="114" t="s">
        <v>162</v>
      </c>
      <c r="J50" s="128">
        <v>3</v>
      </c>
      <c r="K50" s="108">
        <v>0</v>
      </c>
      <c r="L50" s="109">
        <f>23599411.45-L51</f>
        <v>19635780.449999999</v>
      </c>
      <c r="M50" s="109">
        <v>2920194.27</v>
      </c>
      <c r="N50" s="26">
        <f t="shared" si="8"/>
        <v>16715586.18</v>
      </c>
      <c r="O50" s="36"/>
      <c r="P50" s="36"/>
      <c r="Q50" s="36"/>
      <c r="R50" s="26">
        <f t="shared" si="9"/>
        <v>16715586.18</v>
      </c>
      <c r="S50" s="109">
        <f>12295420.06-S51</f>
        <v>10987174.350000001</v>
      </c>
      <c r="T50" s="28">
        <f t="shared" si="10"/>
        <v>0.65730116979959852</v>
      </c>
      <c r="U50" s="111">
        <f>8608465.3-U51</f>
        <v>7512933.0700000003</v>
      </c>
      <c r="V50" s="28">
        <f t="shared" si="11"/>
        <v>0.44945675186605993</v>
      </c>
      <c r="W50" s="109">
        <f>8329198.54-W51</f>
        <v>7233666.3100000005</v>
      </c>
      <c r="X50" s="28">
        <f t="shared" si="12"/>
        <v>0.43274978407009118</v>
      </c>
      <c r="Y50" s="5"/>
      <c r="Z50" s="5"/>
      <c r="AA50" s="5"/>
    </row>
    <row r="51" spans="1:27" ht="54" customHeight="1">
      <c r="A51" s="123" t="s">
        <v>87</v>
      </c>
      <c r="B51" s="33" t="s">
        <v>88</v>
      </c>
      <c r="C51" s="114" t="s">
        <v>50</v>
      </c>
      <c r="D51" s="114" t="s">
        <v>51</v>
      </c>
      <c r="E51" s="33" t="s">
        <v>90</v>
      </c>
      <c r="F51" s="114" t="s">
        <v>184</v>
      </c>
      <c r="G51" s="114" t="s">
        <v>54</v>
      </c>
      <c r="H51" s="114" t="s">
        <v>164</v>
      </c>
      <c r="I51" s="114" t="s">
        <v>162</v>
      </c>
      <c r="J51" s="126">
        <v>4</v>
      </c>
      <c r="K51" s="108">
        <f>0</f>
        <v>0</v>
      </c>
      <c r="L51" s="109">
        <f>3963631</f>
        <v>3963631</v>
      </c>
      <c r="M51" s="109">
        <f>0</f>
        <v>0</v>
      </c>
      <c r="N51" s="26">
        <f t="shared" si="8"/>
        <v>3963631</v>
      </c>
      <c r="O51" s="36"/>
      <c r="P51" s="36"/>
      <c r="Q51" s="36"/>
      <c r="R51" s="26">
        <f t="shared" si="9"/>
        <v>3963631</v>
      </c>
      <c r="S51" s="109">
        <f>80570+490685.24+95986.75+5590+11673.94+120510+503229.78</f>
        <v>1308245.71</v>
      </c>
      <c r="T51" s="28">
        <f t="shared" si="10"/>
        <v>0.33006243769917026</v>
      </c>
      <c r="U51" s="113">
        <f>490685.24+95986.75+5590+1470.24+120510+381290</f>
        <v>1095532.23</v>
      </c>
      <c r="V51" s="28">
        <f t="shared" si="11"/>
        <v>0.27639612012319009</v>
      </c>
      <c r="W51" s="109">
        <f>490685.24+95986.75+5590+1470.24+120510+381290</f>
        <v>1095532.23</v>
      </c>
      <c r="X51" s="28">
        <f t="shared" si="12"/>
        <v>0.27639612012319009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57</v>
      </c>
      <c r="E52" s="33" t="s">
        <v>90</v>
      </c>
      <c r="F52" s="33" t="s">
        <v>103</v>
      </c>
      <c r="G52" s="33" t="s">
        <v>54</v>
      </c>
      <c r="H52" s="114" t="s">
        <v>150</v>
      </c>
      <c r="I52" s="114" t="s">
        <v>162</v>
      </c>
      <c r="J52" s="124">
        <v>3</v>
      </c>
      <c r="K52" s="108">
        <v>100000</v>
      </c>
      <c r="L52" s="109">
        <v>0</v>
      </c>
      <c r="M52" s="109">
        <v>100000</v>
      </c>
      <c r="N52" s="36">
        <f t="shared" si="8"/>
        <v>0</v>
      </c>
      <c r="O52" s="36"/>
      <c r="P52" s="36"/>
      <c r="Q52" s="36"/>
      <c r="R52" s="36">
        <f t="shared" si="9"/>
        <v>0</v>
      </c>
      <c r="S52" s="109">
        <v>0</v>
      </c>
      <c r="T52" s="38">
        <f t="shared" si="10"/>
        <v>0</v>
      </c>
      <c r="U52" s="111">
        <v>0</v>
      </c>
      <c r="V52" s="38">
        <f t="shared" si="11"/>
        <v>0</v>
      </c>
      <c r="W52" s="109">
        <v>0</v>
      </c>
      <c r="X52" s="38">
        <f t="shared" si="12"/>
        <v>0</v>
      </c>
      <c r="Y52" s="5"/>
      <c r="Z52" s="5"/>
      <c r="AA52" s="5"/>
    </row>
    <row r="53" spans="1:27" ht="52.5" customHeight="1">
      <c r="A53" s="123" t="s">
        <v>87</v>
      </c>
      <c r="B53" s="33" t="s">
        <v>88</v>
      </c>
      <c r="C53" s="114" t="s">
        <v>50</v>
      </c>
      <c r="D53" s="114" t="s">
        <v>57</v>
      </c>
      <c r="E53" s="33" t="s">
        <v>90</v>
      </c>
      <c r="F53" s="33" t="s">
        <v>103</v>
      </c>
      <c r="G53" s="114" t="s">
        <v>54</v>
      </c>
      <c r="H53" s="114" t="s">
        <v>164</v>
      </c>
      <c r="I53" s="114" t="s">
        <v>162</v>
      </c>
      <c r="J53" s="124">
        <v>3</v>
      </c>
      <c r="K53" s="108">
        <v>0</v>
      </c>
      <c r="L53" s="109">
        <v>94078433</v>
      </c>
      <c r="M53" s="109">
        <v>0</v>
      </c>
      <c r="N53" s="36">
        <f t="shared" si="8"/>
        <v>94078433</v>
      </c>
      <c r="O53" s="36"/>
      <c r="P53" s="36"/>
      <c r="Q53" s="36"/>
      <c r="R53" s="36">
        <f t="shared" si="9"/>
        <v>94078433</v>
      </c>
      <c r="S53" s="110">
        <v>94078384.829999998</v>
      </c>
      <c r="T53" s="38">
        <f t="shared" si="10"/>
        <v>0.99999948798041738</v>
      </c>
      <c r="U53" s="111">
        <v>94078384.829999998</v>
      </c>
      <c r="V53" s="38">
        <f t="shared" si="11"/>
        <v>0.99999948798041738</v>
      </c>
      <c r="W53" s="109">
        <v>94078384.829999998</v>
      </c>
      <c r="X53" s="38">
        <f t="shared" si="12"/>
        <v>0.99999948798041738</v>
      </c>
      <c r="Y53" s="5"/>
      <c r="Z53" s="5"/>
      <c r="AA53" s="5"/>
    </row>
    <row r="54" spans="1:27" ht="63">
      <c r="A54" s="22" t="s">
        <v>87</v>
      </c>
      <c r="B54" s="33" t="s">
        <v>88</v>
      </c>
      <c r="C54" s="33" t="s">
        <v>50</v>
      </c>
      <c r="D54" s="33" t="s">
        <v>105</v>
      </c>
      <c r="E54" s="33" t="s">
        <v>65</v>
      </c>
      <c r="F54" s="114" t="s">
        <v>185</v>
      </c>
      <c r="G54" s="33" t="s">
        <v>54</v>
      </c>
      <c r="H54" s="114" t="s">
        <v>150</v>
      </c>
      <c r="I54" s="114" t="s">
        <v>162</v>
      </c>
      <c r="J54" s="44">
        <v>4</v>
      </c>
      <c r="K54" s="108">
        <v>17334789</v>
      </c>
      <c r="L54" s="109">
        <v>0</v>
      </c>
      <c r="M54" s="109">
        <v>17334789</v>
      </c>
      <c r="N54" s="36">
        <f t="shared" si="8"/>
        <v>0</v>
      </c>
      <c r="O54" s="36"/>
      <c r="P54" s="36"/>
      <c r="Q54" s="36"/>
      <c r="R54" s="36">
        <f t="shared" si="9"/>
        <v>0</v>
      </c>
      <c r="S54" s="110">
        <v>0</v>
      </c>
      <c r="T54" s="38">
        <f t="shared" si="10"/>
        <v>0</v>
      </c>
      <c r="U54" s="113">
        <v>0</v>
      </c>
      <c r="V54" s="38">
        <f t="shared" si="11"/>
        <v>0</v>
      </c>
      <c r="W54" s="109">
        <v>0</v>
      </c>
      <c r="X54" s="38">
        <f t="shared" si="12"/>
        <v>0</v>
      </c>
      <c r="Y54" s="5"/>
      <c r="Z54" s="5"/>
      <c r="AA54" s="5"/>
    </row>
    <row r="55" spans="1:27" ht="63">
      <c r="A55" s="123" t="s">
        <v>87</v>
      </c>
      <c r="B55" s="33" t="s">
        <v>88</v>
      </c>
      <c r="C55" s="114" t="s">
        <v>50</v>
      </c>
      <c r="D55" s="114" t="s">
        <v>156</v>
      </c>
      <c r="E55" s="33" t="s">
        <v>65</v>
      </c>
      <c r="F55" s="114" t="s">
        <v>185</v>
      </c>
      <c r="G55" s="114" t="s">
        <v>54</v>
      </c>
      <c r="H55" s="114" t="s">
        <v>150</v>
      </c>
      <c r="I55" s="114" t="s">
        <v>162</v>
      </c>
      <c r="J55" s="126">
        <v>4</v>
      </c>
      <c r="K55" s="108">
        <v>0</v>
      </c>
      <c r="L55" s="109">
        <v>18427046.23</v>
      </c>
      <c r="M55" s="109">
        <v>0</v>
      </c>
      <c r="N55" s="36">
        <f t="shared" si="8"/>
        <v>18427046.23</v>
      </c>
      <c r="O55" s="36"/>
      <c r="P55" s="36"/>
      <c r="Q55" s="36"/>
      <c r="R55" s="36">
        <f t="shared" si="9"/>
        <v>18427046.23</v>
      </c>
      <c r="S55" s="110">
        <v>18427046.23</v>
      </c>
      <c r="T55" s="38">
        <f t="shared" si="10"/>
        <v>1</v>
      </c>
      <c r="U55" s="113">
        <v>8012054.2300000004</v>
      </c>
      <c r="V55" s="38">
        <f t="shared" si="11"/>
        <v>0.43479861774895001</v>
      </c>
      <c r="W55" s="109">
        <v>8012054.2300000004</v>
      </c>
      <c r="X55" s="38">
        <f t="shared" si="12"/>
        <v>0.43479861774895001</v>
      </c>
      <c r="Y55" s="5"/>
      <c r="Z55" s="5"/>
      <c r="AA55" s="5"/>
    </row>
    <row r="56" spans="1:27" ht="65.25" customHeight="1">
      <c r="A56" s="123" t="s">
        <v>87</v>
      </c>
      <c r="B56" s="33" t="s">
        <v>88</v>
      </c>
      <c r="C56" s="114" t="s">
        <v>50</v>
      </c>
      <c r="D56" s="114" t="s">
        <v>156</v>
      </c>
      <c r="E56" s="33" t="s">
        <v>65</v>
      </c>
      <c r="F56" s="114" t="s">
        <v>185</v>
      </c>
      <c r="G56" s="114" t="s">
        <v>54</v>
      </c>
      <c r="H56" s="114" t="s">
        <v>164</v>
      </c>
      <c r="I56" s="114" t="s">
        <v>162</v>
      </c>
      <c r="J56" s="136">
        <v>3</v>
      </c>
      <c r="K56" s="108">
        <v>0</v>
      </c>
      <c r="L56" s="109">
        <v>39223.199999999997</v>
      </c>
      <c r="M56" s="109">
        <v>0</v>
      </c>
      <c r="N56" s="36">
        <f t="shared" si="8"/>
        <v>39223.199999999997</v>
      </c>
      <c r="O56" s="36"/>
      <c r="P56" s="36"/>
      <c r="Q56" s="36"/>
      <c r="R56" s="36">
        <f t="shared" si="9"/>
        <v>39223.199999999997</v>
      </c>
      <c r="S56" s="110">
        <v>39223.199999999997</v>
      </c>
      <c r="T56" s="38">
        <f t="shared" si="10"/>
        <v>1</v>
      </c>
      <c r="U56" s="139">
        <v>39223.199999999997</v>
      </c>
      <c r="V56" s="38">
        <f t="shared" si="11"/>
        <v>1</v>
      </c>
      <c r="W56" s="109">
        <v>39223.199999999997</v>
      </c>
      <c r="X56" s="38">
        <f t="shared" si="12"/>
        <v>1</v>
      </c>
      <c r="Y56" s="5"/>
      <c r="Z56" s="5"/>
      <c r="AA56" s="5"/>
    </row>
    <row r="57" spans="1:27" ht="65.25" customHeight="1">
      <c r="A57" s="123" t="s">
        <v>87</v>
      </c>
      <c r="B57" s="33" t="s">
        <v>88</v>
      </c>
      <c r="C57" s="114" t="s">
        <v>50</v>
      </c>
      <c r="D57" s="114" t="s">
        <v>156</v>
      </c>
      <c r="E57" s="33" t="s">
        <v>65</v>
      </c>
      <c r="F57" s="114" t="s">
        <v>185</v>
      </c>
      <c r="G57" s="114" t="s">
        <v>54</v>
      </c>
      <c r="H57" s="114" t="s">
        <v>164</v>
      </c>
      <c r="I57" s="114" t="s">
        <v>162</v>
      </c>
      <c r="J57" s="126">
        <v>4</v>
      </c>
      <c r="K57" s="108">
        <v>0</v>
      </c>
      <c r="L57" s="109">
        <v>3134266.5</v>
      </c>
      <c r="M57" s="109">
        <v>0</v>
      </c>
      <c r="N57" s="36">
        <f t="shared" si="8"/>
        <v>3134266.5</v>
      </c>
      <c r="O57" s="36"/>
      <c r="P57" s="36"/>
      <c r="Q57" s="36"/>
      <c r="R57" s="36">
        <f t="shared" si="9"/>
        <v>3134266.5</v>
      </c>
      <c r="S57" s="110">
        <v>387314.98</v>
      </c>
      <c r="T57" s="38">
        <f t="shared" si="10"/>
        <v>0.12357436101875829</v>
      </c>
      <c r="U57" s="113">
        <v>0</v>
      </c>
      <c r="V57" s="38">
        <f t="shared" si="11"/>
        <v>0</v>
      </c>
      <c r="W57" s="109">
        <v>0</v>
      </c>
      <c r="X57" s="38">
        <f t="shared" si="12"/>
        <v>0</v>
      </c>
      <c r="Y57" s="5"/>
      <c r="Z57" s="5"/>
      <c r="AA57" s="5"/>
    </row>
    <row r="58" spans="1:27" ht="63">
      <c r="A58" s="22" t="s">
        <v>87</v>
      </c>
      <c r="B58" s="33" t="s">
        <v>88</v>
      </c>
      <c r="C58" s="33" t="s">
        <v>50</v>
      </c>
      <c r="D58" s="114" t="s">
        <v>107</v>
      </c>
      <c r="E58" s="33" t="s">
        <v>65</v>
      </c>
      <c r="F58" s="114" t="s">
        <v>186</v>
      </c>
      <c r="G58" s="33" t="s">
        <v>54</v>
      </c>
      <c r="H58" s="114" t="s">
        <v>150</v>
      </c>
      <c r="I58" s="114" t="s">
        <v>162</v>
      </c>
      <c r="J58" s="126">
        <v>4</v>
      </c>
      <c r="K58" s="108">
        <v>50000</v>
      </c>
      <c r="L58" s="109">
        <v>0</v>
      </c>
      <c r="M58" s="109">
        <v>0</v>
      </c>
      <c r="N58" s="36">
        <f t="shared" si="8"/>
        <v>50000</v>
      </c>
      <c r="O58" s="36"/>
      <c r="P58" s="36"/>
      <c r="Q58" s="36"/>
      <c r="R58" s="36">
        <f t="shared" si="9"/>
        <v>50000</v>
      </c>
      <c r="S58" s="110">
        <v>0</v>
      </c>
      <c r="T58" s="38">
        <f t="shared" si="10"/>
        <v>0</v>
      </c>
      <c r="U58" s="113">
        <v>0</v>
      </c>
      <c r="V58" s="38">
        <f t="shared" si="11"/>
        <v>0</v>
      </c>
      <c r="W58" s="109">
        <v>0</v>
      </c>
      <c r="X58" s="38">
        <f t="shared" si="12"/>
        <v>0</v>
      </c>
      <c r="Y58" s="5"/>
      <c r="Z58" s="5"/>
      <c r="AA58" s="5"/>
    </row>
    <row r="59" spans="1:27" ht="63">
      <c r="A59" s="22" t="s">
        <v>87</v>
      </c>
      <c r="B59" s="33" t="s">
        <v>88</v>
      </c>
      <c r="C59" s="33" t="s">
        <v>50</v>
      </c>
      <c r="D59" s="114" t="s">
        <v>107</v>
      </c>
      <c r="E59" s="33" t="s">
        <v>65</v>
      </c>
      <c r="F59" s="114" t="s">
        <v>186</v>
      </c>
      <c r="G59" s="33" t="s">
        <v>54</v>
      </c>
      <c r="H59" s="114" t="s">
        <v>164</v>
      </c>
      <c r="I59" s="114" t="s">
        <v>162</v>
      </c>
      <c r="J59" s="124">
        <v>3</v>
      </c>
      <c r="K59" s="108">
        <v>0</v>
      </c>
      <c r="L59" s="109">
        <v>70934</v>
      </c>
      <c r="M59" s="109">
        <v>0</v>
      </c>
      <c r="N59" s="36">
        <f t="shared" si="8"/>
        <v>70934</v>
      </c>
      <c r="O59" s="36"/>
      <c r="P59" s="36"/>
      <c r="Q59" s="36"/>
      <c r="R59" s="36">
        <f t="shared" si="9"/>
        <v>70934</v>
      </c>
      <c r="S59" s="110">
        <v>60320</v>
      </c>
      <c r="T59" s="38">
        <f t="shared" si="10"/>
        <v>0.85036794766966473</v>
      </c>
      <c r="U59" s="139">
        <v>0</v>
      </c>
      <c r="V59" s="38">
        <f t="shared" si="11"/>
        <v>0</v>
      </c>
      <c r="W59" s="109">
        <v>0</v>
      </c>
      <c r="X59" s="38">
        <f t="shared" si="12"/>
        <v>0</v>
      </c>
      <c r="Y59" s="5"/>
      <c r="Z59" s="5"/>
      <c r="AA59" s="5"/>
    </row>
    <row r="60" spans="1:27" ht="63">
      <c r="A60" s="22" t="s">
        <v>87</v>
      </c>
      <c r="B60" s="33" t="s">
        <v>88</v>
      </c>
      <c r="C60" s="33" t="s">
        <v>50</v>
      </c>
      <c r="D60" s="114" t="s">
        <v>187</v>
      </c>
      <c r="E60" s="33" t="s">
        <v>65</v>
      </c>
      <c r="F60" s="114" t="s">
        <v>188</v>
      </c>
      <c r="G60" s="33" t="s">
        <v>54</v>
      </c>
      <c r="H60" s="114" t="s">
        <v>150</v>
      </c>
      <c r="I60" s="114" t="s">
        <v>162</v>
      </c>
      <c r="J60" s="124">
        <v>3</v>
      </c>
      <c r="K60" s="108">
        <v>750000</v>
      </c>
      <c r="L60" s="109">
        <v>329800</v>
      </c>
      <c r="M60" s="109">
        <v>0</v>
      </c>
      <c r="N60" s="36">
        <f t="shared" si="8"/>
        <v>1079800</v>
      </c>
      <c r="O60" s="36"/>
      <c r="P60" s="36"/>
      <c r="Q60" s="36"/>
      <c r="R60" s="36">
        <f t="shared" si="9"/>
        <v>1079800</v>
      </c>
      <c r="S60" s="110">
        <v>0</v>
      </c>
      <c r="T60" s="38">
        <f t="shared" si="10"/>
        <v>0</v>
      </c>
      <c r="U60" s="139">
        <v>0</v>
      </c>
      <c r="V60" s="38">
        <f t="shared" si="11"/>
        <v>0</v>
      </c>
      <c r="W60" s="109">
        <v>0</v>
      </c>
      <c r="X60" s="38">
        <f t="shared" si="12"/>
        <v>0</v>
      </c>
      <c r="Y60" s="5"/>
      <c r="Z60" s="5"/>
      <c r="AA60" s="5"/>
    </row>
    <row r="61" spans="1:27" ht="63">
      <c r="A61" s="22" t="s">
        <v>87</v>
      </c>
      <c r="B61" s="33" t="s">
        <v>88</v>
      </c>
      <c r="C61" s="33" t="s">
        <v>50</v>
      </c>
      <c r="D61" s="33" t="s">
        <v>64</v>
      </c>
      <c r="E61" s="33" t="s">
        <v>65</v>
      </c>
      <c r="F61" s="33" t="s">
        <v>66</v>
      </c>
      <c r="G61" s="33" t="s">
        <v>54</v>
      </c>
      <c r="H61" s="114" t="s">
        <v>150</v>
      </c>
      <c r="I61" s="114" t="s">
        <v>162</v>
      </c>
      <c r="J61" s="124">
        <v>3</v>
      </c>
      <c r="K61" s="108">
        <v>50000</v>
      </c>
      <c r="L61" s="105">
        <v>0</v>
      </c>
      <c r="M61" s="105">
        <v>50000</v>
      </c>
      <c r="N61" s="26">
        <f t="shared" si="8"/>
        <v>0</v>
      </c>
      <c r="O61" s="26"/>
      <c r="P61" s="26"/>
      <c r="Q61" s="26"/>
      <c r="R61" s="26">
        <f t="shared" si="9"/>
        <v>0</v>
      </c>
      <c r="S61" s="110">
        <v>0</v>
      </c>
      <c r="T61" s="28">
        <f t="shared" si="10"/>
        <v>0</v>
      </c>
      <c r="U61" s="111">
        <v>0</v>
      </c>
      <c r="V61" s="28">
        <f t="shared" si="11"/>
        <v>0</v>
      </c>
      <c r="W61" s="105">
        <v>0</v>
      </c>
      <c r="X61" s="28">
        <f t="shared" si="12"/>
        <v>0</v>
      </c>
      <c r="Y61" s="5"/>
      <c r="Z61" s="5"/>
      <c r="AA61" s="5"/>
    </row>
    <row r="62" spans="1:27" ht="69.75" customHeight="1">
      <c r="A62" s="123" t="s">
        <v>87</v>
      </c>
      <c r="B62" s="33" t="s">
        <v>88</v>
      </c>
      <c r="C62" s="114" t="s">
        <v>50</v>
      </c>
      <c r="D62" s="114" t="s">
        <v>64</v>
      </c>
      <c r="E62" s="33" t="s">
        <v>65</v>
      </c>
      <c r="F62" s="33" t="s">
        <v>66</v>
      </c>
      <c r="G62" s="114" t="s">
        <v>54</v>
      </c>
      <c r="H62" s="114" t="s">
        <v>164</v>
      </c>
      <c r="I62" s="114" t="s">
        <v>162</v>
      </c>
      <c r="J62" s="128">
        <v>3</v>
      </c>
      <c r="K62" s="108">
        <v>0</v>
      </c>
      <c r="L62" s="105">
        <v>27904060</v>
      </c>
      <c r="M62" s="105">
        <v>0</v>
      </c>
      <c r="N62" s="26">
        <f t="shared" si="8"/>
        <v>27904060</v>
      </c>
      <c r="O62" s="26"/>
      <c r="P62" s="26"/>
      <c r="Q62" s="26"/>
      <c r="R62" s="26">
        <f t="shared" si="9"/>
        <v>27904060</v>
      </c>
      <c r="S62" s="138">
        <v>27885394.940000001</v>
      </c>
      <c r="T62" s="28">
        <f t="shared" si="10"/>
        <v>0.99933109877200665</v>
      </c>
      <c r="U62" s="111">
        <v>27885394.940000001</v>
      </c>
      <c r="V62" s="28">
        <f t="shared" si="11"/>
        <v>0.99933109877200665</v>
      </c>
      <c r="W62" s="105">
        <v>27885394.940000001</v>
      </c>
      <c r="X62" s="28">
        <f t="shared" si="12"/>
        <v>0.99933109877200665</v>
      </c>
      <c r="Y62" s="5"/>
      <c r="Z62" s="5"/>
      <c r="AA62" s="5"/>
    </row>
    <row r="63" spans="1:27" ht="63">
      <c r="A63" s="22" t="s">
        <v>87</v>
      </c>
      <c r="B63" s="33" t="s">
        <v>88</v>
      </c>
      <c r="C63" s="33" t="s">
        <v>50</v>
      </c>
      <c r="D63" s="33" t="s">
        <v>113</v>
      </c>
      <c r="E63" s="33" t="s">
        <v>65</v>
      </c>
      <c r="F63" s="114" t="s">
        <v>180</v>
      </c>
      <c r="G63" s="33" t="s">
        <v>54</v>
      </c>
      <c r="H63" s="114" t="s">
        <v>150</v>
      </c>
      <c r="I63" s="114" t="s">
        <v>162</v>
      </c>
      <c r="J63" s="124">
        <v>3</v>
      </c>
      <c r="K63" s="108">
        <f>37007920-K64</f>
        <v>36751090</v>
      </c>
      <c r="L63" s="105">
        <v>11118956.83</v>
      </c>
      <c r="M63" s="105">
        <v>1445021.83</v>
      </c>
      <c r="N63" s="26">
        <f t="shared" si="8"/>
        <v>46425025</v>
      </c>
      <c r="O63" s="26"/>
      <c r="P63" s="26"/>
      <c r="Q63" s="26"/>
      <c r="R63" s="26">
        <f t="shared" si="9"/>
        <v>46425025</v>
      </c>
      <c r="S63" s="105">
        <f>45621824.07-S64</f>
        <v>45367310.410000004</v>
      </c>
      <c r="T63" s="28">
        <f t="shared" si="10"/>
        <v>0.97721671469213001</v>
      </c>
      <c r="U63" s="111">
        <f>44746094.97-U64</f>
        <v>44491581.310000002</v>
      </c>
      <c r="V63" s="28">
        <f t="shared" si="11"/>
        <v>0.95835341628787496</v>
      </c>
      <c r="W63" s="105">
        <f>44645294.08-W64</f>
        <v>44390780.420000002</v>
      </c>
      <c r="X63" s="28">
        <f t="shared" si="12"/>
        <v>0.95618215434455878</v>
      </c>
      <c r="Y63" s="5"/>
      <c r="Z63" s="5"/>
      <c r="AA63" s="5"/>
    </row>
    <row r="64" spans="1:27" ht="63">
      <c r="A64" s="22" t="s">
        <v>87</v>
      </c>
      <c r="B64" s="33" t="s">
        <v>88</v>
      </c>
      <c r="C64" s="33" t="s">
        <v>50</v>
      </c>
      <c r="D64" s="33" t="s">
        <v>113</v>
      </c>
      <c r="E64" s="33" t="s">
        <v>65</v>
      </c>
      <c r="F64" s="114" t="s">
        <v>180</v>
      </c>
      <c r="G64" s="33" t="s">
        <v>54</v>
      </c>
      <c r="H64" s="114" t="s">
        <v>150</v>
      </c>
      <c r="I64" s="114" t="s">
        <v>162</v>
      </c>
      <c r="J64" s="44">
        <v>4</v>
      </c>
      <c r="K64" s="108">
        <f>256830</f>
        <v>256830</v>
      </c>
      <c r="L64" s="105">
        <v>0</v>
      </c>
      <c r="M64" s="105">
        <v>0</v>
      </c>
      <c r="N64" s="26">
        <f t="shared" si="8"/>
        <v>256830</v>
      </c>
      <c r="O64" s="26"/>
      <c r="P64" s="26"/>
      <c r="Q64" s="26"/>
      <c r="R64" s="26">
        <f t="shared" si="9"/>
        <v>256830</v>
      </c>
      <c r="S64" s="105">
        <f>1210+7900+7213.12+43395.64+194794.9</f>
        <v>254513.65999999997</v>
      </c>
      <c r="T64" s="28">
        <f t="shared" si="10"/>
        <v>0.99098103804072724</v>
      </c>
      <c r="U64" s="113">
        <f>1210+7900+7213.12+43395.64+194794.9</f>
        <v>254513.65999999997</v>
      </c>
      <c r="V64" s="28">
        <f t="shared" si="11"/>
        <v>0.99098103804072724</v>
      </c>
      <c r="W64" s="105">
        <f>1210+7900+7213.12+43395.64+194794.9</f>
        <v>254513.65999999997</v>
      </c>
      <c r="X64" s="28">
        <f t="shared" si="12"/>
        <v>0.99098103804072724</v>
      </c>
      <c r="Y64" s="5"/>
      <c r="Z64" s="5"/>
      <c r="AA64" s="5"/>
    </row>
    <row r="65" spans="1:27" ht="63" customHeight="1">
      <c r="A65" s="123" t="s">
        <v>87</v>
      </c>
      <c r="B65" s="33" t="s">
        <v>88</v>
      </c>
      <c r="C65" s="104" t="s">
        <v>50</v>
      </c>
      <c r="D65" s="104" t="s">
        <v>113</v>
      </c>
      <c r="E65" s="33" t="s">
        <v>65</v>
      </c>
      <c r="F65" s="114" t="s">
        <v>180</v>
      </c>
      <c r="G65" s="104" t="s">
        <v>54</v>
      </c>
      <c r="H65" s="104" t="s">
        <v>164</v>
      </c>
      <c r="I65" s="114" t="s">
        <v>162</v>
      </c>
      <c r="J65" s="128">
        <v>3</v>
      </c>
      <c r="K65" s="108">
        <v>0</v>
      </c>
      <c r="L65" s="105">
        <f>12757261.08-L66</f>
        <v>12715479.08</v>
      </c>
      <c r="M65" s="105">
        <v>1145236</v>
      </c>
      <c r="N65" s="26">
        <f t="shared" si="8"/>
        <v>11570243.08</v>
      </c>
      <c r="O65" s="26"/>
      <c r="P65" s="26"/>
      <c r="Q65" s="26"/>
      <c r="R65" s="26">
        <f t="shared" si="9"/>
        <v>11570243.08</v>
      </c>
      <c r="S65" s="109">
        <f>7357583.1-S66</f>
        <v>7317347.0999999996</v>
      </c>
      <c r="T65" s="28">
        <f t="shared" si="10"/>
        <v>0.63242812181263175</v>
      </c>
      <c r="U65" s="111">
        <f>5239639.62-U66</f>
        <v>5204351.62</v>
      </c>
      <c r="V65" s="28">
        <f t="shared" si="11"/>
        <v>0.44980486442813783</v>
      </c>
      <c r="W65" s="105">
        <f>5239639.62-W66</f>
        <v>5204351.62</v>
      </c>
      <c r="X65" s="28">
        <f t="shared" si="12"/>
        <v>0.44980486442813783</v>
      </c>
      <c r="Y65" s="5"/>
      <c r="Z65" s="5"/>
      <c r="AA65" s="5"/>
    </row>
    <row r="66" spans="1:27" ht="63" customHeight="1">
      <c r="A66" s="123" t="s">
        <v>87</v>
      </c>
      <c r="B66" s="33" t="s">
        <v>88</v>
      </c>
      <c r="C66" s="104" t="s">
        <v>50</v>
      </c>
      <c r="D66" s="104" t="s">
        <v>113</v>
      </c>
      <c r="E66" s="33" t="s">
        <v>65</v>
      </c>
      <c r="F66" s="114" t="s">
        <v>180</v>
      </c>
      <c r="G66" s="104" t="s">
        <v>54</v>
      </c>
      <c r="H66" s="104" t="s">
        <v>164</v>
      </c>
      <c r="I66" s="114" t="s">
        <v>162</v>
      </c>
      <c r="J66" s="44">
        <v>4</v>
      </c>
      <c r="K66" s="108">
        <v>0</v>
      </c>
      <c r="L66" s="105">
        <v>41782</v>
      </c>
      <c r="M66" s="105">
        <v>0</v>
      </c>
      <c r="N66" s="26">
        <f t="shared" si="8"/>
        <v>41782</v>
      </c>
      <c r="O66" s="26"/>
      <c r="P66" s="26"/>
      <c r="Q66" s="26"/>
      <c r="R66" s="26">
        <f t="shared" si="9"/>
        <v>41782</v>
      </c>
      <c r="S66" s="109">
        <f>2148+28045+10043</f>
        <v>40236</v>
      </c>
      <c r="T66" s="28">
        <f t="shared" si="10"/>
        <v>0.96299842037240913</v>
      </c>
      <c r="U66" s="113">
        <f>28045+7243</f>
        <v>35288</v>
      </c>
      <c r="V66" s="28">
        <f t="shared" si="11"/>
        <v>0.84457421856301762</v>
      </c>
      <c r="W66" s="105">
        <f>28045+7243</f>
        <v>35288</v>
      </c>
      <c r="X66" s="28">
        <f t="shared" si="12"/>
        <v>0.84457421856301762</v>
      </c>
      <c r="Y66" s="5"/>
      <c r="Z66" s="5"/>
      <c r="AA66" s="5"/>
    </row>
    <row r="67" spans="1:27" ht="63" customHeight="1">
      <c r="A67" s="123" t="s">
        <v>87</v>
      </c>
      <c r="B67" s="33" t="s">
        <v>88</v>
      </c>
      <c r="C67" s="104" t="s">
        <v>50</v>
      </c>
      <c r="D67" s="104" t="s">
        <v>113</v>
      </c>
      <c r="E67" s="33" t="s">
        <v>65</v>
      </c>
      <c r="F67" s="114" t="s">
        <v>180</v>
      </c>
      <c r="G67" s="104" t="s">
        <v>54</v>
      </c>
      <c r="H67" s="104" t="s">
        <v>166</v>
      </c>
      <c r="I67" s="114" t="s">
        <v>162</v>
      </c>
      <c r="J67" s="128">
        <v>3</v>
      </c>
      <c r="K67" s="108">
        <v>0</v>
      </c>
      <c r="L67" s="105">
        <v>161</v>
      </c>
      <c r="M67" s="105">
        <v>0</v>
      </c>
      <c r="N67" s="26">
        <f t="shared" si="8"/>
        <v>161</v>
      </c>
      <c r="O67" s="26"/>
      <c r="P67" s="26"/>
      <c r="Q67" s="26"/>
      <c r="R67" s="26">
        <f t="shared" si="9"/>
        <v>161</v>
      </c>
      <c r="S67" s="109">
        <v>0</v>
      </c>
      <c r="T67" s="28">
        <f t="shared" si="10"/>
        <v>0</v>
      </c>
      <c r="U67" s="111">
        <v>0</v>
      </c>
      <c r="V67" s="28">
        <f t="shared" si="11"/>
        <v>0</v>
      </c>
      <c r="W67" s="105">
        <v>0</v>
      </c>
      <c r="X67" s="28">
        <f t="shared" si="12"/>
        <v>0</v>
      </c>
      <c r="Y67" s="5"/>
      <c r="Z67" s="5"/>
      <c r="AA67" s="5"/>
    </row>
    <row r="68" spans="1:27" ht="63" customHeight="1">
      <c r="A68" s="123" t="s">
        <v>87</v>
      </c>
      <c r="B68" s="104" t="s">
        <v>88</v>
      </c>
      <c r="C68" s="104" t="s">
        <v>50</v>
      </c>
      <c r="D68" s="104" t="s">
        <v>116</v>
      </c>
      <c r="E68" s="33" t="s">
        <v>65</v>
      </c>
      <c r="F68" s="104" t="s">
        <v>189</v>
      </c>
      <c r="G68" s="104" t="s">
        <v>54</v>
      </c>
      <c r="H68" s="104" t="s">
        <v>150</v>
      </c>
      <c r="I68" s="114" t="s">
        <v>162</v>
      </c>
      <c r="J68" s="128">
        <v>3</v>
      </c>
      <c r="K68" s="108">
        <v>960000</v>
      </c>
      <c r="L68" s="105">
        <v>70000</v>
      </c>
      <c r="M68" s="105">
        <v>70000</v>
      </c>
      <c r="N68" s="26">
        <f t="shared" si="8"/>
        <v>960000</v>
      </c>
      <c r="O68" s="26"/>
      <c r="P68" s="26"/>
      <c r="Q68" s="26"/>
      <c r="R68" s="26">
        <f t="shared" si="9"/>
        <v>960000</v>
      </c>
      <c r="S68" s="109">
        <v>865233.43</v>
      </c>
      <c r="T68" s="28">
        <f t="shared" si="10"/>
        <v>0.90128482291666667</v>
      </c>
      <c r="U68" s="111">
        <v>865233.43</v>
      </c>
      <c r="V68" s="28">
        <f t="shared" si="11"/>
        <v>0.90128482291666667</v>
      </c>
      <c r="W68" s="105">
        <v>865233.43</v>
      </c>
      <c r="X68" s="28">
        <f t="shared" si="12"/>
        <v>0.90128482291666667</v>
      </c>
      <c r="Y68" s="5"/>
      <c r="Z68" s="5"/>
      <c r="AA68" s="5"/>
    </row>
    <row r="69" spans="1:27" ht="63" customHeight="1">
      <c r="A69" s="123" t="s">
        <v>87</v>
      </c>
      <c r="B69" s="104" t="s">
        <v>88</v>
      </c>
      <c r="C69" s="104" t="s">
        <v>50</v>
      </c>
      <c r="D69" s="104" t="s">
        <v>116</v>
      </c>
      <c r="E69" s="33" t="s">
        <v>65</v>
      </c>
      <c r="F69" s="104" t="s">
        <v>189</v>
      </c>
      <c r="G69" s="104" t="s">
        <v>54</v>
      </c>
      <c r="H69" s="104" t="s">
        <v>164</v>
      </c>
      <c r="I69" s="114" t="s">
        <v>162</v>
      </c>
      <c r="J69" s="128">
        <v>3</v>
      </c>
      <c r="K69" s="108">
        <v>0</v>
      </c>
      <c r="L69" s="105">
        <v>650000</v>
      </c>
      <c r="M69" s="105">
        <v>0</v>
      </c>
      <c r="N69" s="26">
        <f t="shared" si="8"/>
        <v>650000</v>
      </c>
      <c r="O69" s="26"/>
      <c r="P69" s="26"/>
      <c r="Q69" s="26"/>
      <c r="R69" s="26">
        <f t="shared" si="9"/>
        <v>650000</v>
      </c>
      <c r="S69" s="109">
        <v>414662.37</v>
      </c>
      <c r="T69" s="28">
        <f t="shared" si="10"/>
        <v>0.63794210769230764</v>
      </c>
      <c r="U69" s="111">
        <v>414662.37</v>
      </c>
      <c r="V69" s="28">
        <f t="shared" si="11"/>
        <v>0.63794210769230764</v>
      </c>
      <c r="W69" s="105">
        <v>414662.37</v>
      </c>
      <c r="X69" s="28">
        <f t="shared" si="12"/>
        <v>0.63794210769230764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50</v>
      </c>
      <c r="D70" s="23" t="s">
        <v>71</v>
      </c>
      <c r="E70" s="33" t="s">
        <v>65</v>
      </c>
      <c r="F70" s="23" t="s">
        <v>72</v>
      </c>
      <c r="G70" s="23" t="s">
        <v>54</v>
      </c>
      <c r="H70" s="104" t="s">
        <v>150</v>
      </c>
      <c r="I70" s="114" t="s">
        <v>162</v>
      </c>
      <c r="J70" s="124">
        <v>3</v>
      </c>
      <c r="K70" s="108">
        <v>50000</v>
      </c>
      <c r="L70" s="105">
        <v>0</v>
      </c>
      <c r="M70" s="105">
        <v>50000</v>
      </c>
      <c r="N70" s="26">
        <f t="shared" si="8"/>
        <v>0</v>
      </c>
      <c r="O70" s="26"/>
      <c r="P70" s="26"/>
      <c r="Q70" s="26"/>
      <c r="R70" s="26">
        <f t="shared" si="9"/>
        <v>0</v>
      </c>
      <c r="S70" s="109">
        <v>0</v>
      </c>
      <c r="T70" s="28">
        <f t="shared" si="10"/>
        <v>0</v>
      </c>
      <c r="U70" s="111">
        <v>0</v>
      </c>
      <c r="V70" s="28">
        <f t="shared" si="11"/>
        <v>0</v>
      </c>
      <c r="W70" s="105">
        <v>0</v>
      </c>
      <c r="X70" s="28">
        <f t="shared" si="12"/>
        <v>0</v>
      </c>
      <c r="Y70" s="5"/>
      <c r="Z70" s="5"/>
      <c r="AA70" s="5"/>
    </row>
    <row r="71" spans="1:27" ht="63" customHeight="1">
      <c r="A71" s="123" t="s">
        <v>87</v>
      </c>
      <c r="B71" s="23" t="s">
        <v>88</v>
      </c>
      <c r="C71" s="114" t="s">
        <v>50</v>
      </c>
      <c r="D71" s="114" t="s">
        <v>194</v>
      </c>
      <c r="E71" s="33" t="s">
        <v>65</v>
      </c>
      <c r="F71" s="23" t="s">
        <v>72</v>
      </c>
      <c r="G71" s="114" t="s">
        <v>54</v>
      </c>
      <c r="H71" s="114" t="s">
        <v>164</v>
      </c>
      <c r="I71" s="114" t="s">
        <v>162</v>
      </c>
      <c r="J71" s="128">
        <v>3</v>
      </c>
      <c r="K71" s="108">
        <v>0</v>
      </c>
      <c r="L71" s="109">
        <v>29938835</v>
      </c>
      <c r="M71" s="109">
        <v>0</v>
      </c>
      <c r="N71" s="26">
        <f t="shared" si="8"/>
        <v>29938835</v>
      </c>
      <c r="O71" s="36"/>
      <c r="P71" s="36"/>
      <c r="Q71" s="36"/>
      <c r="R71" s="26">
        <f t="shared" si="9"/>
        <v>29938835</v>
      </c>
      <c r="S71" s="109">
        <v>29920006.640000001</v>
      </c>
      <c r="T71" s="28">
        <f t="shared" si="10"/>
        <v>0.9993711057895206</v>
      </c>
      <c r="U71" s="111">
        <v>29920006.640000001</v>
      </c>
      <c r="V71" s="28">
        <f t="shared" si="11"/>
        <v>0.9993711057895206</v>
      </c>
      <c r="W71" s="109">
        <v>29920006.640000001</v>
      </c>
      <c r="X71" s="28">
        <f t="shared" si="12"/>
        <v>0.9993711057895206</v>
      </c>
      <c r="Y71" s="5"/>
      <c r="Z71" s="5"/>
      <c r="AA71" s="5"/>
    </row>
    <row r="72" spans="1:27" ht="63" customHeight="1">
      <c r="A72" s="22" t="s">
        <v>87</v>
      </c>
      <c r="B72" s="33" t="s">
        <v>88</v>
      </c>
      <c r="C72" s="33" t="s">
        <v>118</v>
      </c>
      <c r="D72" s="33" t="s">
        <v>119</v>
      </c>
      <c r="E72" s="114" t="s">
        <v>90</v>
      </c>
      <c r="F72" s="114" t="s">
        <v>190</v>
      </c>
      <c r="G72" s="33" t="s">
        <v>54</v>
      </c>
      <c r="H72" s="114" t="s">
        <v>150</v>
      </c>
      <c r="I72" s="114" t="s">
        <v>162</v>
      </c>
      <c r="J72" s="124">
        <v>3</v>
      </c>
      <c r="K72" s="108">
        <f>16951090-K73</f>
        <v>15951090</v>
      </c>
      <c r="L72" s="109">
        <f>435109.99-L73</f>
        <v>85109.989999999991</v>
      </c>
      <c r="M72" s="109">
        <v>685109.99</v>
      </c>
      <c r="N72" s="36">
        <f t="shared" si="8"/>
        <v>15351090</v>
      </c>
      <c r="O72" s="36"/>
      <c r="P72" s="36"/>
      <c r="Q72" s="36"/>
      <c r="R72" s="36">
        <f t="shared" si="9"/>
        <v>15351090</v>
      </c>
      <c r="S72" s="109">
        <f>14460236.51-S73</f>
        <v>13282709.48</v>
      </c>
      <c r="T72" s="38">
        <f t="shared" si="10"/>
        <v>0.86526165112705355</v>
      </c>
      <c r="U72" s="111">
        <f>13070455.25-U73</f>
        <v>12224708.220000001</v>
      </c>
      <c r="V72" s="38">
        <f t="shared" si="11"/>
        <v>0.79634138162176116</v>
      </c>
      <c r="W72" s="109">
        <f>13070455.25-W73</f>
        <v>12224708.220000001</v>
      </c>
      <c r="X72" s="38">
        <f t="shared" si="12"/>
        <v>0.79634138162176116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119</v>
      </c>
      <c r="E73" s="114" t="s">
        <v>90</v>
      </c>
      <c r="F73" s="114" t="s">
        <v>190</v>
      </c>
      <c r="G73" s="23" t="s">
        <v>54</v>
      </c>
      <c r="H73" s="104" t="s">
        <v>150</v>
      </c>
      <c r="I73" s="114" t="s">
        <v>162</v>
      </c>
      <c r="J73" s="44">
        <v>4</v>
      </c>
      <c r="K73" s="108">
        <f>1000000</f>
        <v>1000000</v>
      </c>
      <c r="L73" s="105">
        <f>350000</f>
        <v>350000</v>
      </c>
      <c r="M73" s="109">
        <f>0</f>
        <v>0</v>
      </c>
      <c r="N73" s="26">
        <f t="shared" si="8"/>
        <v>1350000</v>
      </c>
      <c r="O73" s="26"/>
      <c r="P73" s="26"/>
      <c r="Q73" s="26"/>
      <c r="R73" s="26">
        <f t="shared" si="9"/>
        <v>1350000</v>
      </c>
      <c r="S73" s="109">
        <f>825083.15+352443.88</f>
        <v>1177527.03</v>
      </c>
      <c r="T73" s="28">
        <f t="shared" si="10"/>
        <v>0.87224224444444443</v>
      </c>
      <c r="U73" s="113">
        <f>825083.15+20663.88</f>
        <v>845747.03</v>
      </c>
      <c r="V73" s="28">
        <f t="shared" si="11"/>
        <v>0.62647928148148146</v>
      </c>
      <c r="W73" s="105">
        <f>825083.15+20663.88</f>
        <v>845747.03</v>
      </c>
      <c r="X73" s="28">
        <f t="shared" si="12"/>
        <v>0.62647928148148146</v>
      </c>
      <c r="Y73" s="5"/>
      <c r="Z73" s="5"/>
      <c r="AA73" s="5"/>
    </row>
    <row r="74" spans="1:27" ht="63" customHeight="1">
      <c r="A74" s="22" t="s">
        <v>87</v>
      </c>
      <c r="B74" s="23" t="s">
        <v>88</v>
      </c>
      <c r="C74" s="23" t="s">
        <v>118</v>
      </c>
      <c r="D74" s="23" t="s">
        <v>119</v>
      </c>
      <c r="E74" s="114" t="s">
        <v>90</v>
      </c>
      <c r="F74" s="114" t="s">
        <v>190</v>
      </c>
      <c r="G74" s="23" t="s">
        <v>54</v>
      </c>
      <c r="H74" s="104" t="s">
        <v>164</v>
      </c>
      <c r="I74" s="114" t="s">
        <v>162</v>
      </c>
      <c r="J74" s="124">
        <v>3</v>
      </c>
      <c r="K74" s="108">
        <v>0</v>
      </c>
      <c r="L74" s="105">
        <f>18498695.93-L75</f>
        <v>7770338.9299999997</v>
      </c>
      <c r="M74" s="105">
        <f>2036018-M75</f>
        <v>1170000</v>
      </c>
      <c r="N74" s="26">
        <f t="shared" si="8"/>
        <v>6600338.9299999997</v>
      </c>
      <c r="O74" s="26"/>
      <c r="P74" s="26"/>
      <c r="Q74" s="26"/>
      <c r="R74" s="26">
        <f t="shared" si="9"/>
        <v>6600338.9299999997</v>
      </c>
      <c r="S74" s="109">
        <f>6276699.75-S75</f>
        <v>1718051.3600000003</v>
      </c>
      <c r="T74" s="28">
        <f t="shared" si="10"/>
        <v>0.26029744505862829</v>
      </c>
      <c r="U74" s="111">
        <f>4379806.66-U75</f>
        <v>838726.66000000015</v>
      </c>
      <c r="V74" s="28">
        <f t="shared" si="11"/>
        <v>0.12707327137214153</v>
      </c>
      <c r="W74" s="105">
        <f>4379806.66-W75</f>
        <v>838726.66000000015</v>
      </c>
      <c r="X74" s="28">
        <f t="shared" si="12"/>
        <v>0.12707327137214153</v>
      </c>
      <c r="Y74" s="5"/>
      <c r="Z74" s="5"/>
      <c r="AA74" s="5"/>
    </row>
    <row r="75" spans="1:27" ht="63" customHeight="1">
      <c r="A75" s="123" t="s">
        <v>87</v>
      </c>
      <c r="B75" s="23" t="s">
        <v>88</v>
      </c>
      <c r="C75" s="104" t="s">
        <v>118</v>
      </c>
      <c r="D75" s="104" t="s">
        <v>119</v>
      </c>
      <c r="E75" s="114" t="s">
        <v>90</v>
      </c>
      <c r="F75" s="114" t="s">
        <v>190</v>
      </c>
      <c r="G75" s="104" t="s">
        <v>54</v>
      </c>
      <c r="H75" s="104" t="s">
        <v>164</v>
      </c>
      <c r="I75" s="114" t="s">
        <v>162</v>
      </c>
      <c r="J75" s="44">
        <v>4</v>
      </c>
      <c r="K75" s="108">
        <v>0</v>
      </c>
      <c r="L75" s="105">
        <f>333167+10395190</f>
        <v>10728357</v>
      </c>
      <c r="M75" s="105">
        <v>866018</v>
      </c>
      <c r="N75" s="26">
        <f t="shared" si="8"/>
        <v>9862339</v>
      </c>
      <c r="O75" s="26"/>
      <c r="P75" s="26"/>
      <c r="Q75" s="26"/>
      <c r="R75" s="26">
        <f t="shared" si="9"/>
        <v>9862339</v>
      </c>
      <c r="S75" s="109">
        <f>103168.39+249420+4206060</f>
        <v>4558648.3899999997</v>
      </c>
      <c r="T75" s="28">
        <f t="shared" si="10"/>
        <v>0.46222791469650348</v>
      </c>
      <c r="U75" s="113">
        <f>249420+3291660</f>
        <v>3541080</v>
      </c>
      <c r="V75" s="28">
        <f t="shared" si="11"/>
        <v>0.35905072822988543</v>
      </c>
      <c r="W75" s="105">
        <f>249420+3291660</f>
        <v>3541080</v>
      </c>
      <c r="X75" s="28">
        <f t="shared" si="12"/>
        <v>0.35905072822988543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118</v>
      </c>
      <c r="D76" s="23" t="s">
        <v>121</v>
      </c>
      <c r="E76" s="33" t="s">
        <v>65</v>
      </c>
      <c r="F76" s="104" t="s">
        <v>191</v>
      </c>
      <c r="G76" s="23" t="s">
        <v>54</v>
      </c>
      <c r="H76" s="104" t="s">
        <v>150</v>
      </c>
      <c r="I76" s="114" t="s">
        <v>162</v>
      </c>
      <c r="J76" s="124">
        <v>3</v>
      </c>
      <c r="K76" s="108">
        <f>9751090-K77</f>
        <v>9651090</v>
      </c>
      <c r="L76" s="105">
        <f>327000-L77</f>
        <v>27000</v>
      </c>
      <c r="M76" s="105">
        <f>127000-M77</f>
        <v>27000</v>
      </c>
      <c r="N76" s="26">
        <f t="shared" si="8"/>
        <v>9651090</v>
      </c>
      <c r="O76" s="26"/>
      <c r="P76" s="26"/>
      <c r="Q76" s="26"/>
      <c r="R76" s="26">
        <f t="shared" si="9"/>
        <v>9651090</v>
      </c>
      <c r="S76" s="109">
        <f>4369404.46-S77</f>
        <v>4201288.55</v>
      </c>
      <c r="T76" s="28">
        <f t="shared" si="10"/>
        <v>0.43531751853935668</v>
      </c>
      <c r="U76" s="111">
        <f>4179902.2-U77</f>
        <v>4011786.29</v>
      </c>
      <c r="V76" s="28">
        <f t="shared" si="11"/>
        <v>0.41568219651873517</v>
      </c>
      <c r="W76" s="105">
        <f>4179902.2-W77</f>
        <v>4011786.29</v>
      </c>
      <c r="X76" s="28">
        <f t="shared" si="12"/>
        <v>0.41568219651873517</v>
      </c>
      <c r="Y76" s="5"/>
      <c r="Z76" s="5"/>
      <c r="AA76" s="5"/>
    </row>
    <row r="77" spans="1:27" ht="63" customHeight="1">
      <c r="A77" s="22" t="s">
        <v>87</v>
      </c>
      <c r="B77" s="23" t="s">
        <v>88</v>
      </c>
      <c r="C77" s="23" t="s">
        <v>118</v>
      </c>
      <c r="D77" s="23" t="s">
        <v>121</v>
      </c>
      <c r="E77" s="33" t="s">
        <v>65</v>
      </c>
      <c r="F77" s="104" t="s">
        <v>191</v>
      </c>
      <c r="G77" s="23" t="s">
        <v>54</v>
      </c>
      <c r="H77" s="104" t="s">
        <v>150</v>
      </c>
      <c r="I77" s="114" t="s">
        <v>162</v>
      </c>
      <c r="J77" s="44">
        <v>4</v>
      </c>
      <c r="K77" s="108">
        <v>100000</v>
      </c>
      <c r="L77" s="105">
        <v>300000</v>
      </c>
      <c r="M77" s="105">
        <v>100000</v>
      </c>
      <c r="N77" s="26">
        <f t="shared" si="8"/>
        <v>300000</v>
      </c>
      <c r="O77" s="26"/>
      <c r="P77" s="26"/>
      <c r="Q77" s="26"/>
      <c r="R77" s="26">
        <f t="shared" si="9"/>
        <v>300000</v>
      </c>
      <c r="S77" s="109">
        <f>161094.43+7021.48</f>
        <v>168115.91</v>
      </c>
      <c r="T77" s="28">
        <f t="shared" si="10"/>
        <v>0.56038636666666664</v>
      </c>
      <c r="U77" s="113">
        <f>161094.43+7021.48</f>
        <v>168115.91</v>
      </c>
      <c r="V77" s="28">
        <f t="shared" si="11"/>
        <v>0.56038636666666664</v>
      </c>
      <c r="W77" s="105">
        <f>161094.43+7021.48</f>
        <v>168115.91</v>
      </c>
      <c r="X77" s="28">
        <f t="shared" si="12"/>
        <v>0.56038636666666664</v>
      </c>
      <c r="Y77" s="5"/>
      <c r="Z77" s="5"/>
      <c r="AA77" s="5"/>
    </row>
    <row r="78" spans="1:27" ht="63" customHeight="1">
      <c r="A78" s="22" t="s">
        <v>87</v>
      </c>
      <c r="B78" s="23" t="s">
        <v>88</v>
      </c>
      <c r="C78" s="23" t="s">
        <v>118</v>
      </c>
      <c r="D78" s="23" t="s">
        <v>121</v>
      </c>
      <c r="E78" s="33" t="s">
        <v>65</v>
      </c>
      <c r="F78" s="104" t="s">
        <v>191</v>
      </c>
      <c r="G78" s="23" t="s">
        <v>54</v>
      </c>
      <c r="H78" s="104" t="s">
        <v>164</v>
      </c>
      <c r="I78" s="114" t="s">
        <v>162</v>
      </c>
      <c r="J78" s="124">
        <v>3</v>
      </c>
      <c r="K78" s="108">
        <v>0</v>
      </c>
      <c r="L78" s="105">
        <v>1569191.3230000001</v>
      </c>
      <c r="M78" s="105">
        <v>5000</v>
      </c>
      <c r="N78" s="26">
        <f t="shared" si="8"/>
        <v>1564191.3230000001</v>
      </c>
      <c r="O78" s="26"/>
      <c r="P78" s="26"/>
      <c r="Q78" s="26"/>
      <c r="R78" s="26">
        <f t="shared" si="9"/>
        <v>1564191.3230000001</v>
      </c>
      <c r="S78" s="109">
        <v>518892.75</v>
      </c>
      <c r="T78" s="28">
        <f t="shared" si="10"/>
        <v>0.33173227748431894</v>
      </c>
      <c r="U78" s="111">
        <v>416122.01</v>
      </c>
      <c r="V78" s="28">
        <f t="shared" si="11"/>
        <v>0.26603012296597428</v>
      </c>
      <c r="W78" s="105">
        <v>416122.01</v>
      </c>
      <c r="X78" s="28">
        <f t="shared" si="12"/>
        <v>0.26603012296597428</v>
      </c>
      <c r="Y78" s="5"/>
      <c r="Z78" s="5"/>
      <c r="AA78" s="5"/>
    </row>
    <row r="79" spans="1:27" ht="63" customHeight="1">
      <c r="A79" s="22" t="s">
        <v>87</v>
      </c>
      <c r="B79" s="23" t="s">
        <v>88</v>
      </c>
      <c r="C79" s="23" t="s">
        <v>76</v>
      </c>
      <c r="D79" s="23" t="s">
        <v>77</v>
      </c>
      <c r="E79" s="33" t="s">
        <v>65</v>
      </c>
      <c r="F79" s="23" t="s">
        <v>123</v>
      </c>
      <c r="G79" s="23" t="s">
        <v>54</v>
      </c>
      <c r="H79" s="104" t="s">
        <v>150</v>
      </c>
      <c r="I79" s="114" t="s">
        <v>162</v>
      </c>
      <c r="J79" s="124">
        <v>3</v>
      </c>
      <c r="K79" s="108">
        <v>1500000</v>
      </c>
      <c r="L79" s="105">
        <v>665596.36</v>
      </c>
      <c r="M79" s="105">
        <v>665596.36</v>
      </c>
      <c r="N79" s="26">
        <f t="shared" si="8"/>
        <v>1500000</v>
      </c>
      <c r="O79" s="26"/>
      <c r="P79" s="26"/>
      <c r="Q79" s="26"/>
      <c r="R79" s="26">
        <f t="shared" si="9"/>
        <v>1500000</v>
      </c>
      <c r="S79" s="109">
        <v>1105541.47</v>
      </c>
      <c r="T79" s="28">
        <f t="shared" si="10"/>
        <v>0.73702764666666665</v>
      </c>
      <c r="U79" s="111">
        <v>1046583.91</v>
      </c>
      <c r="V79" s="28">
        <f t="shared" si="11"/>
        <v>0.69772260666666663</v>
      </c>
      <c r="W79" s="105">
        <v>1043167.75</v>
      </c>
      <c r="X79" s="28">
        <f t="shared" si="12"/>
        <v>0.69544516666666667</v>
      </c>
      <c r="Y79" s="5"/>
      <c r="Z79" s="5"/>
      <c r="AA79" s="5"/>
    </row>
    <row r="80" spans="1:27" ht="63" customHeight="1">
      <c r="A80" s="22" t="s">
        <v>87</v>
      </c>
      <c r="B80" s="23" t="s">
        <v>88</v>
      </c>
      <c r="C80" s="23" t="s">
        <v>76</v>
      </c>
      <c r="D80" s="23" t="s">
        <v>77</v>
      </c>
      <c r="E80" s="33" t="s">
        <v>65</v>
      </c>
      <c r="F80" s="23" t="s">
        <v>123</v>
      </c>
      <c r="G80" s="23" t="s">
        <v>54</v>
      </c>
      <c r="H80" s="104" t="s">
        <v>164</v>
      </c>
      <c r="I80" s="114" t="s">
        <v>162</v>
      </c>
      <c r="J80" s="124">
        <v>3</v>
      </c>
      <c r="K80" s="108">
        <v>0</v>
      </c>
      <c r="L80" s="105">
        <v>509200.25</v>
      </c>
      <c r="M80" s="105">
        <v>0</v>
      </c>
      <c r="N80" s="26">
        <f t="shared" si="8"/>
        <v>509200.25</v>
      </c>
      <c r="O80" s="26"/>
      <c r="P80" s="26"/>
      <c r="Q80" s="26"/>
      <c r="R80" s="26">
        <f t="shared" si="9"/>
        <v>509200.25</v>
      </c>
      <c r="S80" s="109">
        <v>309200.25</v>
      </c>
      <c r="T80" s="28">
        <f t="shared" si="10"/>
        <v>0.6072272156190025</v>
      </c>
      <c r="U80" s="111">
        <v>209200.25</v>
      </c>
      <c r="V80" s="28">
        <f t="shared" si="11"/>
        <v>0.41084082342850381</v>
      </c>
      <c r="W80" s="105">
        <v>209200.25</v>
      </c>
      <c r="X80" s="28">
        <f t="shared" si="12"/>
        <v>0.41084082342850381</v>
      </c>
      <c r="Y80" s="5"/>
      <c r="Z80" s="5"/>
      <c r="AA80" s="5"/>
    </row>
    <row r="81" spans="1:27" ht="63" customHeight="1">
      <c r="A81" s="22" t="s">
        <v>87</v>
      </c>
      <c r="B81" s="23" t="s">
        <v>88</v>
      </c>
      <c r="C81" s="23" t="s">
        <v>76</v>
      </c>
      <c r="D81" s="104" t="s">
        <v>61</v>
      </c>
      <c r="E81" s="33" t="s">
        <v>65</v>
      </c>
      <c r="F81" s="104" t="s">
        <v>181</v>
      </c>
      <c r="G81" s="23" t="s">
        <v>54</v>
      </c>
      <c r="H81" s="104" t="s">
        <v>150</v>
      </c>
      <c r="I81" s="114" t="s">
        <v>162</v>
      </c>
      <c r="J81" s="124">
        <v>3</v>
      </c>
      <c r="K81" s="108">
        <v>205640</v>
      </c>
      <c r="L81" s="105">
        <v>59670</v>
      </c>
      <c r="M81" s="105">
        <v>59670</v>
      </c>
      <c r="N81" s="26">
        <f t="shared" si="8"/>
        <v>205640</v>
      </c>
      <c r="O81" s="26"/>
      <c r="P81" s="26"/>
      <c r="Q81" s="26"/>
      <c r="R81" s="26">
        <f t="shared" si="9"/>
        <v>205640</v>
      </c>
      <c r="S81" s="109">
        <f>2996+6670</f>
        <v>9666</v>
      </c>
      <c r="T81" s="28">
        <f t="shared" si="10"/>
        <v>4.700447383777475E-2</v>
      </c>
      <c r="U81" s="111">
        <f>2996+6670</f>
        <v>9666</v>
      </c>
      <c r="V81" s="28">
        <f t="shared" si="11"/>
        <v>4.700447383777475E-2</v>
      </c>
      <c r="W81" s="105">
        <f>2996+6670</f>
        <v>9666</v>
      </c>
      <c r="X81" s="28">
        <f t="shared" si="12"/>
        <v>4.700447383777475E-2</v>
      </c>
      <c r="Y81" s="5"/>
      <c r="Z81" s="5"/>
      <c r="AA81" s="5"/>
    </row>
    <row r="82" spans="1:27" ht="63" customHeight="1">
      <c r="A82" s="22" t="s">
        <v>87</v>
      </c>
      <c r="B82" s="23" t="s">
        <v>88</v>
      </c>
      <c r="C82" s="23" t="s">
        <v>76</v>
      </c>
      <c r="D82" s="104" t="s">
        <v>61</v>
      </c>
      <c r="E82" s="33" t="s">
        <v>65</v>
      </c>
      <c r="F82" s="104" t="s">
        <v>181</v>
      </c>
      <c r="G82" s="23" t="s">
        <v>54</v>
      </c>
      <c r="H82" s="104" t="s">
        <v>150</v>
      </c>
      <c r="I82" s="114" t="s">
        <v>162</v>
      </c>
      <c r="J82" s="44">
        <v>4</v>
      </c>
      <c r="K82" s="108">
        <v>240000</v>
      </c>
      <c r="L82" s="105">
        <v>0</v>
      </c>
      <c r="M82" s="105">
        <v>0</v>
      </c>
      <c r="N82" s="26">
        <f t="shared" si="8"/>
        <v>240000</v>
      </c>
      <c r="O82" s="26"/>
      <c r="P82" s="26"/>
      <c r="Q82" s="26"/>
      <c r="R82" s="26">
        <f t="shared" si="9"/>
        <v>240000</v>
      </c>
      <c r="S82" s="109">
        <v>48079</v>
      </c>
      <c r="T82" s="28">
        <f t="shared" si="10"/>
        <v>0.20032916666666667</v>
      </c>
      <c r="U82" s="113">
        <v>0</v>
      </c>
      <c r="V82" s="28">
        <f t="shared" si="11"/>
        <v>0</v>
      </c>
      <c r="W82" s="105">
        <v>0</v>
      </c>
      <c r="X82" s="28">
        <f t="shared" si="12"/>
        <v>0</v>
      </c>
      <c r="Y82" s="5"/>
      <c r="Z82" s="5"/>
      <c r="AA82" s="5"/>
    </row>
    <row r="83" spans="1:27" ht="63" customHeight="1">
      <c r="A83" s="123" t="s">
        <v>87</v>
      </c>
      <c r="B83" s="23" t="s">
        <v>88</v>
      </c>
      <c r="C83" s="104" t="s">
        <v>76</v>
      </c>
      <c r="D83" s="104" t="s">
        <v>192</v>
      </c>
      <c r="E83" s="33" t="s">
        <v>65</v>
      </c>
      <c r="F83" s="104" t="s">
        <v>181</v>
      </c>
      <c r="G83" s="104" t="s">
        <v>54</v>
      </c>
      <c r="H83" s="104" t="s">
        <v>154</v>
      </c>
      <c r="I83" s="104" t="s">
        <v>165</v>
      </c>
      <c r="J83" s="136">
        <v>3</v>
      </c>
      <c r="K83" s="108">
        <v>1200000</v>
      </c>
      <c r="L83" s="105">
        <v>156714</v>
      </c>
      <c r="M83" s="105">
        <v>156714</v>
      </c>
      <c r="N83" s="26">
        <f t="shared" si="8"/>
        <v>1200000</v>
      </c>
      <c r="O83" s="26"/>
      <c r="P83" s="26"/>
      <c r="Q83" s="26"/>
      <c r="R83" s="26">
        <f t="shared" si="9"/>
        <v>1200000</v>
      </c>
      <c r="S83" s="109">
        <v>973124.97</v>
      </c>
      <c r="T83" s="28">
        <f t="shared" si="10"/>
        <v>0.81093747500000002</v>
      </c>
      <c r="U83" s="111">
        <v>533738.63</v>
      </c>
      <c r="V83" s="28">
        <f t="shared" si="11"/>
        <v>0.44478219166666666</v>
      </c>
      <c r="W83" s="105">
        <v>529737.81999999995</v>
      </c>
      <c r="X83" s="28">
        <f t="shared" si="12"/>
        <v>0.4414481833333333</v>
      </c>
      <c r="Y83" s="5"/>
      <c r="Z83" s="5"/>
      <c r="AA83" s="5"/>
    </row>
    <row r="84" spans="1:27" ht="15.75" customHeight="1">
      <c r="A84" s="156" t="s">
        <v>124</v>
      </c>
      <c r="B84" s="142"/>
      <c r="C84" s="142"/>
      <c r="D84" s="142"/>
      <c r="E84" s="142"/>
      <c r="F84" s="142"/>
      <c r="G84" s="142"/>
      <c r="H84" s="142"/>
      <c r="I84" s="142"/>
      <c r="J84" s="143"/>
      <c r="K84" s="39">
        <f t="shared" ref="K84:S84" si="13">SUM(K42:K83)</f>
        <v>190820000</v>
      </c>
      <c r="L84" s="39">
        <f t="shared" si="13"/>
        <v>295662235.57300007</v>
      </c>
      <c r="M84" s="39">
        <f t="shared" si="13"/>
        <v>73864383.070000008</v>
      </c>
      <c r="N84" s="39">
        <f t="shared" si="13"/>
        <v>412617852.50299996</v>
      </c>
      <c r="O84" s="39">
        <f t="shared" si="13"/>
        <v>0</v>
      </c>
      <c r="P84" s="39">
        <f t="shared" si="13"/>
        <v>0</v>
      </c>
      <c r="Q84" s="39">
        <f t="shared" si="13"/>
        <v>0</v>
      </c>
      <c r="R84" s="39">
        <f t="shared" si="13"/>
        <v>412617852.50299996</v>
      </c>
      <c r="S84" s="39">
        <f t="shared" si="13"/>
        <v>364455647.82000011</v>
      </c>
      <c r="T84" s="40">
        <f t="shared" si="10"/>
        <v>0.88327648842423834</v>
      </c>
      <c r="U84" s="39">
        <f>SUM(U42:U83)</f>
        <v>310284509.6500001</v>
      </c>
      <c r="V84" s="40">
        <f t="shared" si="11"/>
        <v>0.75199002604412069</v>
      </c>
      <c r="W84" s="39">
        <f>SUM(W42:W83)</f>
        <v>309814980.47000003</v>
      </c>
      <c r="X84" s="40">
        <f t="shared" si="12"/>
        <v>0.75085209859587332</v>
      </c>
      <c r="Y84" s="5"/>
      <c r="Z84" s="5"/>
      <c r="AA84" s="5"/>
    </row>
    <row r="85" spans="1:27" ht="15.75" customHeight="1">
      <c r="A85" s="157" t="s">
        <v>125</v>
      </c>
      <c r="B85" s="142"/>
      <c r="C85" s="142"/>
      <c r="D85" s="142"/>
      <c r="E85" s="142"/>
      <c r="F85" s="142"/>
      <c r="G85" s="142"/>
      <c r="H85" s="142"/>
      <c r="I85" s="142"/>
      <c r="J85" s="143"/>
      <c r="K85" s="57">
        <f t="shared" ref="K85:S85" si="14">SUM(K39+K84)</f>
        <v>1214989000</v>
      </c>
      <c r="L85" s="57">
        <f t="shared" si="14"/>
        <v>572131334.99300003</v>
      </c>
      <c r="M85" s="57">
        <f t="shared" si="14"/>
        <v>199482187.83000001</v>
      </c>
      <c r="N85" s="57">
        <f t="shared" si="14"/>
        <v>1586332592.3929999</v>
      </c>
      <c r="O85" s="57">
        <f t="shared" si="14"/>
        <v>0</v>
      </c>
      <c r="P85" s="57">
        <f t="shared" si="14"/>
        <v>0</v>
      </c>
      <c r="Q85" s="57">
        <f t="shared" si="14"/>
        <v>-65380932.609999999</v>
      </c>
      <c r="R85" s="57">
        <f t="shared" si="14"/>
        <v>1522257214.553</v>
      </c>
      <c r="S85" s="57">
        <f t="shared" si="14"/>
        <v>1474069998.4200001</v>
      </c>
      <c r="T85" s="58">
        <f t="shared" si="10"/>
        <v>0.96834489226109544</v>
      </c>
      <c r="U85" s="57">
        <f>SUM(U39+U84)</f>
        <v>1419101338.2900002</v>
      </c>
      <c r="V85" s="58">
        <f t="shared" si="11"/>
        <v>0.93223492371931982</v>
      </c>
      <c r="W85" s="57">
        <f>SUM(W39+W84)</f>
        <v>1413403883.1199999</v>
      </c>
      <c r="X85" s="58">
        <f t="shared" si="12"/>
        <v>0.92849215599548718</v>
      </c>
      <c r="Y85" s="30"/>
      <c r="Z85" s="5"/>
      <c r="AA85" s="5"/>
    </row>
    <row r="86" spans="1:27" ht="14.25" customHeight="1">
      <c r="A86" s="59" t="s">
        <v>126</v>
      </c>
      <c r="B86" s="60"/>
      <c r="C86" s="60"/>
      <c r="D86" s="60"/>
      <c r="E86" s="60"/>
      <c r="F86" s="60"/>
      <c r="G86" s="60"/>
      <c r="H86" s="61"/>
      <c r="I86" s="61"/>
      <c r="J86" s="61"/>
      <c r="K86" s="60"/>
      <c r="L86" s="60"/>
      <c r="M86" s="62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5"/>
      <c r="Z86" s="5"/>
      <c r="AA86" s="5"/>
    </row>
    <row r="87" spans="1:27" ht="14.25" customHeight="1">
      <c r="A87" s="59" t="s">
        <v>127</v>
      </c>
      <c r="B87" s="64"/>
      <c r="C87" s="60"/>
      <c r="D87" s="60"/>
      <c r="E87" s="60"/>
      <c r="F87" s="60"/>
      <c r="G87" s="60"/>
      <c r="H87" s="61"/>
      <c r="I87" s="61"/>
      <c r="J87" s="61"/>
      <c r="K87" s="60"/>
      <c r="L87" s="60"/>
      <c r="M87" s="62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5"/>
      <c r="Z87" s="121"/>
      <c r="AA87" s="5"/>
    </row>
    <row r="88" spans="1:27" ht="14.25" customHeight="1">
      <c r="A88" s="158" t="s">
        <v>128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5"/>
      <c r="Z88" s="121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33"/>
      <c r="U89" s="137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</sheetData>
  <mergeCells count="27">
    <mergeCell ref="A12:B12"/>
    <mergeCell ref="C12:C13"/>
    <mergeCell ref="D12:D13"/>
    <mergeCell ref="G12:G13"/>
    <mergeCell ref="J12:J13"/>
    <mergeCell ref="A39:J39"/>
    <mergeCell ref="A84:J84"/>
    <mergeCell ref="A85:J85"/>
    <mergeCell ref="A88:M88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 2022</vt:lpstr>
      <vt:lpstr>JANEIRO 2023</vt:lpstr>
      <vt:lpstr>DEZEMBRO 2022</vt:lpstr>
      <vt:lpstr>JANEIRO 24</vt:lpstr>
      <vt:lpstr>DEZEMBRO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2025-01-20T13:28:00Z</dcterms:modified>
</cp:coreProperties>
</file>