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3655" windowHeight="9150" tabRatio="130"/>
  </bookViews>
  <sheets>
    <sheet name="OUTUBRO 2024" sheetId="34" r:id="rId1"/>
  </sheets>
  <calcPr calcId="124519"/>
  <extLst>
    <ext uri="GoogleSheetsCustomDataVersion2">
      <go:sheetsCustomData xmlns:go="http://customooxmlschemas.google.com/" r:id="rId38" roundtripDataChecksum="i5vxU7XUs+TA0Bu/+SBUg52jQzvo9CZOxBtHgHkqnGk="/>
    </ext>
  </extLst>
</workbook>
</file>

<file path=xl/calcChain.xml><?xml version="1.0" encoding="utf-8"?>
<calcChain xmlns="http://schemas.openxmlformats.org/spreadsheetml/2006/main">
  <c r="Q74" i="34"/>
  <c r="P74"/>
  <c r="P75" s="1"/>
  <c r="O74"/>
  <c r="M74"/>
  <c r="N73"/>
  <c r="R73" s="1"/>
  <c r="V72"/>
  <c r="R72"/>
  <c r="T72" s="1"/>
  <c r="N72"/>
  <c r="N71"/>
  <c r="R71" s="1"/>
  <c r="R70"/>
  <c r="T70" s="1"/>
  <c r="N70"/>
  <c r="N69"/>
  <c r="R69" s="1"/>
  <c r="V68"/>
  <c r="R68"/>
  <c r="T68" s="1"/>
  <c r="N68"/>
  <c r="W67"/>
  <c r="W66" s="1"/>
  <c r="U67"/>
  <c r="U66" s="1"/>
  <c r="S67"/>
  <c r="S66" s="1"/>
  <c r="K67"/>
  <c r="N67" s="1"/>
  <c r="R67" s="1"/>
  <c r="M66"/>
  <c r="L66"/>
  <c r="S65"/>
  <c r="S64" s="1"/>
  <c r="L65"/>
  <c r="N65" s="1"/>
  <c r="R65" s="1"/>
  <c r="W64"/>
  <c r="U64"/>
  <c r="U63"/>
  <c r="U62" s="1"/>
  <c r="S63"/>
  <c r="S62" s="1"/>
  <c r="N63"/>
  <c r="R63" s="1"/>
  <c r="W62"/>
  <c r="K62"/>
  <c r="N62" s="1"/>
  <c r="R62" s="1"/>
  <c r="N61"/>
  <c r="R61" s="1"/>
  <c r="R60"/>
  <c r="T60" s="1"/>
  <c r="N60"/>
  <c r="N59"/>
  <c r="R59" s="1"/>
  <c r="V58"/>
  <c r="R58"/>
  <c r="T58" s="1"/>
  <c r="N58"/>
  <c r="N57"/>
  <c r="R57" s="1"/>
  <c r="W56"/>
  <c r="W55" s="1"/>
  <c r="U56"/>
  <c r="U55" s="1"/>
  <c r="S56"/>
  <c r="N56"/>
  <c r="R56" s="1"/>
  <c r="S55"/>
  <c r="N55"/>
  <c r="R55" s="1"/>
  <c r="L55"/>
  <c r="W54"/>
  <c r="W53" s="1"/>
  <c r="U54"/>
  <c r="U53" s="1"/>
  <c r="S54"/>
  <c r="S53" s="1"/>
  <c r="K54"/>
  <c r="N54" s="1"/>
  <c r="R54" s="1"/>
  <c r="L53"/>
  <c r="R52"/>
  <c r="X52" s="1"/>
  <c r="N52"/>
  <c r="N51"/>
  <c r="R51" s="1"/>
  <c r="R50"/>
  <c r="T50" s="1"/>
  <c r="N50"/>
  <c r="N49"/>
  <c r="R49" s="1"/>
  <c r="V48"/>
  <c r="R48"/>
  <c r="T48" s="1"/>
  <c r="N48"/>
  <c r="N47"/>
  <c r="R47" s="1"/>
  <c r="N46"/>
  <c r="R46" s="1"/>
  <c r="N45"/>
  <c r="R45" s="1"/>
  <c r="R44"/>
  <c r="T44" s="1"/>
  <c r="N44"/>
  <c r="N43"/>
  <c r="R43" s="1"/>
  <c r="V42"/>
  <c r="R42"/>
  <c r="T42" s="1"/>
  <c r="N42"/>
  <c r="W41"/>
  <c r="U41"/>
  <c r="S41"/>
  <c r="L41"/>
  <c r="N41" s="1"/>
  <c r="R41" s="1"/>
  <c r="W40"/>
  <c r="U40"/>
  <c r="S40"/>
  <c r="M40"/>
  <c r="W39"/>
  <c r="W38" s="1"/>
  <c r="U39"/>
  <c r="U38" s="1"/>
  <c r="S39"/>
  <c r="S38" s="1"/>
  <c r="N39"/>
  <c r="R39" s="1"/>
  <c r="K38"/>
  <c r="N38" s="1"/>
  <c r="R38" s="1"/>
  <c r="N37"/>
  <c r="R37" s="1"/>
  <c r="R36"/>
  <c r="X36" s="1"/>
  <c r="N36"/>
  <c r="N35"/>
  <c r="R35" s="1"/>
  <c r="R34"/>
  <c r="T34" s="1"/>
  <c r="N34"/>
  <c r="N33"/>
  <c r="V32"/>
  <c r="R32"/>
  <c r="T32" s="1"/>
  <c r="N32"/>
  <c r="P29"/>
  <c r="O29"/>
  <c r="M29"/>
  <c r="M75" s="1"/>
  <c r="N28"/>
  <c r="R28" s="1"/>
  <c r="W27"/>
  <c r="W26" s="1"/>
  <c r="U27"/>
  <c r="U26" s="1"/>
  <c r="S27"/>
  <c r="S26" s="1"/>
  <c r="N27"/>
  <c r="R27" s="1"/>
  <c r="Q26"/>
  <c r="Q29" s="1"/>
  <c r="L26"/>
  <c r="K26"/>
  <c r="N26" s="1"/>
  <c r="N25"/>
  <c r="R25" s="1"/>
  <c r="V24"/>
  <c r="R24"/>
  <c r="T24" s="1"/>
  <c r="N24"/>
  <c r="N23"/>
  <c r="R23" s="1"/>
  <c r="V22"/>
  <c r="R22"/>
  <c r="T22" s="1"/>
  <c r="N22"/>
  <c r="N21"/>
  <c r="R21" s="1"/>
  <c r="R20"/>
  <c r="T20" s="1"/>
  <c r="N20"/>
  <c r="N19"/>
  <c r="R19" s="1"/>
  <c r="R18"/>
  <c r="T18" s="1"/>
  <c r="N18"/>
  <c r="N17"/>
  <c r="R17" s="1"/>
  <c r="R16"/>
  <c r="X16" s="1"/>
  <c r="N16"/>
  <c r="N15"/>
  <c r="R15" s="1"/>
  <c r="R14"/>
  <c r="T14" s="1"/>
  <c r="N14"/>
  <c r="T46" l="1"/>
  <c r="V46"/>
  <c r="S74"/>
  <c r="N29"/>
  <c r="Q75"/>
  <c r="R26"/>
  <c r="X26" s="1"/>
  <c r="V18"/>
  <c r="O75"/>
  <c r="T39"/>
  <c r="V39"/>
  <c r="X39"/>
  <c r="T63"/>
  <c r="V63"/>
  <c r="X63"/>
  <c r="T54"/>
  <c r="V54"/>
  <c r="X54"/>
  <c r="V21"/>
  <c r="X21"/>
  <c r="T21"/>
  <c r="T57"/>
  <c r="V57"/>
  <c r="X57"/>
  <c r="V71"/>
  <c r="X71"/>
  <c r="T71"/>
  <c r="T47"/>
  <c r="V47"/>
  <c r="X47"/>
  <c r="T19"/>
  <c r="V19"/>
  <c r="X19"/>
  <c r="V38"/>
  <c r="X38"/>
  <c r="T38"/>
  <c r="T25"/>
  <c r="V25"/>
  <c r="X25"/>
  <c r="T41"/>
  <c r="V41"/>
  <c r="X41"/>
  <c r="T62"/>
  <c r="V62"/>
  <c r="X62"/>
  <c r="T69"/>
  <c r="V69"/>
  <c r="X69"/>
  <c r="T37"/>
  <c r="V37"/>
  <c r="X37"/>
  <c r="X56"/>
  <c r="T56"/>
  <c r="V56"/>
  <c r="T28"/>
  <c r="V28"/>
  <c r="X28"/>
  <c r="V45"/>
  <c r="X45"/>
  <c r="T45"/>
  <c r="V61"/>
  <c r="X61"/>
  <c r="T61"/>
  <c r="T65"/>
  <c r="V65"/>
  <c r="X65"/>
  <c r="T17"/>
  <c r="V17"/>
  <c r="X17"/>
  <c r="T51"/>
  <c r="V51"/>
  <c r="X51"/>
  <c r="T55"/>
  <c r="V55"/>
  <c r="X55"/>
  <c r="T23"/>
  <c r="V23"/>
  <c r="X23"/>
  <c r="T35"/>
  <c r="V35"/>
  <c r="X35"/>
  <c r="S29"/>
  <c r="T43"/>
  <c r="V43"/>
  <c r="X43"/>
  <c r="T59"/>
  <c r="V59"/>
  <c r="X59"/>
  <c r="T73"/>
  <c r="V73"/>
  <c r="X73"/>
  <c r="W74"/>
  <c r="T15"/>
  <c r="V15"/>
  <c r="X15"/>
  <c r="T27"/>
  <c r="V27"/>
  <c r="X27"/>
  <c r="T49"/>
  <c r="V49"/>
  <c r="X49"/>
  <c r="T67"/>
  <c r="V67"/>
  <c r="X67"/>
  <c r="V16"/>
  <c r="L29"/>
  <c r="V36"/>
  <c r="L40"/>
  <c r="V52"/>
  <c r="T16"/>
  <c r="X18"/>
  <c r="K29"/>
  <c r="W29"/>
  <c r="W75" s="1"/>
  <c r="T36"/>
  <c r="X42"/>
  <c r="T52"/>
  <c r="X58"/>
  <c r="K66"/>
  <c r="N66" s="1"/>
  <c r="R66" s="1"/>
  <c r="X68"/>
  <c r="U74"/>
  <c r="X20"/>
  <c r="U29"/>
  <c r="X44"/>
  <c r="X60"/>
  <c r="X70"/>
  <c r="V20"/>
  <c r="V44"/>
  <c r="V60"/>
  <c r="V70"/>
  <c r="X22"/>
  <c r="R33"/>
  <c r="X46"/>
  <c r="L64"/>
  <c r="N64" s="1"/>
  <c r="R64" s="1"/>
  <c r="X72"/>
  <c r="R29"/>
  <c r="X24"/>
  <c r="X32"/>
  <c r="X48"/>
  <c r="X14"/>
  <c r="X34"/>
  <c r="X50"/>
  <c r="V14"/>
  <c r="V34"/>
  <c r="V50"/>
  <c r="K53"/>
  <c r="N53" s="1"/>
  <c r="R53" s="1"/>
  <c r="T26" l="1"/>
  <c r="V26"/>
  <c r="S75"/>
  <c r="T66"/>
  <c r="V66"/>
  <c r="X66"/>
  <c r="T33"/>
  <c r="V33"/>
  <c r="X33"/>
  <c r="U75"/>
  <c r="V64"/>
  <c r="X64"/>
  <c r="T64"/>
  <c r="L74"/>
  <c r="L75" s="1"/>
  <c r="N40"/>
  <c r="T53"/>
  <c r="V53"/>
  <c r="X53"/>
  <c r="K74"/>
  <c r="K75" s="1"/>
  <c r="T29"/>
  <c r="V29"/>
  <c r="X29"/>
  <c r="R40" l="1"/>
  <c r="N74"/>
  <c r="N75" s="1"/>
  <c r="T40" l="1"/>
  <c r="V40"/>
  <c r="X40"/>
  <c r="R74"/>
  <c r="X74" l="1"/>
  <c r="T74"/>
  <c r="V74"/>
  <c r="R75"/>
  <c r="V75" l="1"/>
  <c r="X75"/>
  <c r="T75"/>
</calcChain>
</file>

<file path=xl/sharedStrings.xml><?xml version="1.0" encoding="utf-8"?>
<sst xmlns="http://schemas.openxmlformats.org/spreadsheetml/2006/main" count="574" uniqueCount="134">
  <si>
    <t>ANEXO II</t>
  </si>
  <si>
    <t>Sigla: TJAM</t>
  </si>
  <si>
    <t>Nome do Órgão: TRIBUNAL DE JUSTIÇA DO AMAZONAS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</si>
  <si>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</si>
  <si>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</si>
  <si>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</si>
  <si>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</si>
  <si>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</si>
  <si>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</si>
  <si>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</si>
  <si>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</si>
  <si>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</si>
  <si>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</si>
  <si>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</si>
  <si>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</si>
  <si>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</si>
  <si>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</si>
  <si>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</si>
  <si>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</si>
  <si>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</si>
  <si>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</si>
  <si>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</si>
  <si>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</si>
  <si>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</si>
  <si>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</si>
  <si>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</si>
  <si>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</si>
  <si>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</si>
  <si>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</si>
  <si>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</si>
  <si>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</si>
  <si>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</si>
  <si>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</si>
  <si>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</si>
  <si>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</si>
  <si>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</si>
  <si>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</si>
  <si>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</si>
  <si>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</si>
  <si>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</si>
  <si>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</si>
  <si>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</si>
  <si>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</si>
  <si>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</si>
  <si>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</si>
  <si>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</si>
  <si>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</si>
  <si>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</si>
  <si>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</si>
  <si>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1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</si>
  <si>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</si>
  <si>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</si>
  <si>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</si>
  <si>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</si>
  <si>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</si>
  <si>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</si>
  <si>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</si>
  <si>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</si>
  <si>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</si>
  <si>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</si>
  <si>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</si>
  <si>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</si>
  <si>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</si>
  <si>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</si>
  <si>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</si>
  <si>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</si>
  <si>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</si>
  <si>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</si>
  <si>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</si>
  <si>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</si>
  <si>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</si>
  <si>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</si>
  <si>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</si>
  <si>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</si>
  <si>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</si>
  <si>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</si>
  <si>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Prestação Jurisdicional do 1° Grau na Justiça Estadual</t>
  </si>
  <si>
    <t>3290/1476.0001</t>
  </si>
  <si>
    <t>3290/1477.0001</t>
  </si>
  <si>
    <t>Benefícios aos Servidores do 1. Grau</t>
  </si>
  <si>
    <t>3291/1478.0001</t>
  </si>
  <si>
    <t>3291/1479.0001</t>
  </si>
  <si>
    <t>3291/2565.0001</t>
  </si>
  <si>
    <t>3291/2581.0001</t>
  </si>
  <si>
    <t>02.126</t>
  </si>
  <si>
    <t>3290/2627.0001</t>
  </si>
  <si>
    <t>3291/2628.0001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</si>
  <si>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</si>
  <si>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</si>
  <si>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</si>
  <si>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</si>
  <si>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</si>
  <si>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</si>
  <si>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NELIA CAMINHA JORGE</t>
  </si>
  <si>
    <t>1.500.100.0.0000.0000</t>
  </si>
  <si>
    <t>1.759.201.0.0000.0000</t>
  </si>
  <si>
    <t>3290/1476.0011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</si>
  <si>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</si>
  <si>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</si>
  <si>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</si>
  <si>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</si>
  <si>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</si>
  <si>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</si>
  <si>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</si>
  <si>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</si>
  <si>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2.759.201.0.0000.0000</t>
  </si>
  <si>
    <t>Recursos Vinculados a Fundos - Outras Fontes</t>
  </si>
  <si>
    <t>2.759.285.0.0000.0000</t>
  </si>
  <si>
    <t xml:space="preserve">  </t>
  </si>
  <si>
    <t/>
  </si>
  <si>
    <t>3290/1476.0003</t>
  </si>
  <si>
    <t>Apreciação e Julgamento da Causas na Justiça Estadual do 1° Grau</t>
  </si>
  <si>
    <t>Apreciação e Julgamento de Causas na Justiça Estadual do 2° Grau</t>
  </si>
  <si>
    <t>Operacionalização da Escola Superior da Magistratura - ESMAM</t>
  </si>
  <si>
    <t>Construção, Ampliação e Reforma de Unidades Jurisdicionais do 1° Grau</t>
  </si>
  <si>
    <t>Aprimoramento da Segurança Institucional no 1° Grau</t>
  </si>
  <si>
    <t>Apreciação e Julgamento de Causas na Justiça Estadual do 1° Grau</t>
  </si>
  <si>
    <t>Construção, Ampliação e Reforma de Unidades Jurisdicionais do 2° Grau</t>
  </si>
  <si>
    <t>Aprimoramento da Segurança Institucional no 2° Grau</t>
  </si>
  <si>
    <t>3291.1574.0001</t>
  </si>
  <si>
    <t>Ampliação do Quadro Funcional do TJ</t>
  </si>
  <si>
    <t>Operacionalização da Corregedoria Geral de Justiça - CGJ/AM</t>
  </si>
  <si>
    <t>Manutenção, Ampliação e Aperfeiçoamento da Infraestrutura de TIC no 1° Grau do Poder Judiciário</t>
  </si>
  <si>
    <t>Manutenção, Ampliação e Aperfeiçoamento da Infraestrutura de TIC no 2° Grau do Poder Judiciário</t>
  </si>
  <si>
    <t>3291.2347.0001</t>
  </si>
  <si>
    <t>3290.1476.0006</t>
  </si>
  <si>
    <t>3291.2745.0001</t>
  </si>
  <si>
    <t>3310.2773.0001</t>
  </si>
  <si>
    <t>Desenvolvimento de Ações Decorrentes de Emendas Parlamentares</t>
  </si>
  <si>
    <t>1.500.121.0.0000.0000</t>
  </si>
  <si>
    <t>Recursos não vinculados de impostos - FPE</t>
  </si>
  <si>
    <t>Aplicação de Emendas Parlamentares</t>
  </si>
  <si>
    <t>Mês de Referência: 10/2024</t>
  </si>
  <si>
    <t>Data da Publicação: 19/11/2024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</si>
</sst>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0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CFE2F3"/>
        <bgColor rgb="FFCFE2F3"/>
      </patternFill>
    </fill>
  </fills>
  <borders count="1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center" vertical="center"/>
    </xf>
    <xf numFmtId="166" fontId="4" fillId="0" borderId="0" xfId="0" applyNumberFormat="1" applyFont="1" applyAlignment="1"/>
    <xf numFmtId="0" fontId="3" fillId="4" borderId="12" xfId="0" applyFon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center" vertical="center"/>
    </xf>
    <xf numFmtId="4" fontId="6" fillId="5" borderId="12" xfId="0" applyNumberFormat="1" applyFont="1" applyFill="1" applyBorder="1" applyAlignment="1">
      <alignment horizontal="center" vertical="center" wrapText="1"/>
    </xf>
    <xf numFmtId="164" fontId="6" fillId="5" borderId="12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4" fontId="6" fillId="8" borderId="12" xfId="0" applyNumberFormat="1" applyFont="1" applyFill="1" applyBorder="1" applyAlignment="1">
      <alignment horizontal="center" vertical="center" wrapText="1"/>
    </xf>
    <xf numFmtId="164" fontId="6" fillId="8" borderId="12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/>
    <xf numFmtId="0" fontId="3" fillId="2" borderId="4" xfId="0" applyFont="1" applyFill="1" applyBorder="1" applyAlignment="1"/>
    <xf numFmtId="0" fontId="5" fillId="2" borderId="15" xfId="0" applyFont="1" applyFill="1" applyBorder="1" applyAlignment="1"/>
    <xf numFmtId="4" fontId="3" fillId="2" borderId="4" xfId="0" applyNumberFormat="1" applyFont="1" applyFill="1" applyBorder="1" applyAlignment="1"/>
    <xf numFmtId="164" fontId="3" fillId="2" borderId="9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/>
    </xf>
    <xf numFmtId="166" fontId="3" fillId="4" borderId="12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6" fontId="3" fillId="7" borderId="12" xfId="0" applyNumberFormat="1" applyFont="1" applyFill="1" applyBorder="1" applyAlignment="1">
      <alignment horizontal="right" vertical="center"/>
    </xf>
    <xf numFmtId="166" fontId="3" fillId="6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" fontId="4" fillId="0" borderId="0" xfId="0" applyNumberFormat="1" applyFont="1" applyAlignment="1"/>
    <xf numFmtId="4" fontId="6" fillId="2" borderId="12" xfId="0" applyNumberFormat="1" applyFont="1" applyFill="1" applyBorder="1" applyAlignment="1">
      <alignment horizontal="right" vertical="center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2" borderId="12" xfId="0" quotePrefix="1" applyFont="1" applyFill="1" applyBorder="1" applyAlignment="1">
      <alignment horizontal="right" vertical="center"/>
    </xf>
    <xf numFmtId="0" fontId="3" fillId="7" borderId="1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" fillId="4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9" fillId="2" borderId="0" xfId="0" applyFont="1" applyFill="1"/>
    <xf numFmtId="166" fontId="3" fillId="2" borderId="3" xfId="0" applyNumberFormat="1" applyFont="1" applyFill="1" applyBorder="1" applyAlignment="1">
      <alignment horizontal="right" vertical="center"/>
    </xf>
    <xf numFmtId="166" fontId="3" fillId="9" borderId="12" xfId="0" applyNumberFormat="1" applyFont="1" applyFill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9" Type="http://schemas.openxmlformats.org/officeDocument/2006/relationships/theme" Target="theme/theme1.xml"/><Relationship Id="rId42" Type="http://schemas.openxmlformats.org/officeDocument/2006/relationships/calcChain" Target="calcChain.xml"/><Relationship Id="rId38" Type="http://customschemas.google.com/relationships/workbookmetadata" Target="metadata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4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970"/>
  <sheetViews>
    <sheetView tabSelected="1" workbookViewId="0">
      <selection activeCell="J103" sqref="J102:J103"/>
    </sheetView>
  </sheetViews>
  <sheetFormatPr defaultColWidth="12.625" defaultRowHeight="15" customHeight="1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5" width="9.75" customWidth="1"/>
    <col min="16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3.75" customWidth="1"/>
    <col min="26" max="26" width="16.375" customWidth="1"/>
    <col min="27" max="27" width="9.125" customWidth="1"/>
  </cols>
  <sheetData>
    <row r="1" spans="1:27" ht="14.25" customHeight="1">
      <c r="A1" s="71" t="s">
        <v>0</v>
      </c>
      <c r="B1" s="72"/>
      <c r="C1" s="72"/>
      <c r="D1" s="72"/>
      <c r="E1" s="72"/>
      <c r="F1" s="73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74" t="s">
        <v>1</v>
      </c>
      <c r="B2" s="75"/>
      <c r="C2" s="75"/>
      <c r="D2" s="75"/>
      <c r="E2" s="75"/>
      <c r="F2" s="76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74" t="s">
        <v>2</v>
      </c>
      <c r="B3" s="75"/>
      <c r="C3" s="75"/>
      <c r="D3" s="75"/>
      <c r="E3" s="75"/>
      <c r="F3" s="7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71" t="s">
        <v>93</v>
      </c>
      <c r="B4" s="72"/>
      <c r="C4" s="72"/>
      <c r="D4" s="72"/>
      <c r="E4" s="72"/>
      <c r="F4" s="73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6" t="s">
        <v>3</v>
      </c>
      <c r="B5" s="6"/>
      <c r="C5" s="6"/>
      <c r="D5" s="6"/>
      <c r="E5" s="6"/>
      <c r="F5" s="6"/>
      <c r="G5" s="7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71" t="s">
        <v>132</v>
      </c>
      <c r="B6" s="72"/>
      <c r="C6" s="72"/>
      <c r="D6" s="72"/>
      <c r="E6" s="72"/>
      <c r="F6" s="73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71" t="s">
        <v>133</v>
      </c>
      <c r="B7" s="72"/>
      <c r="C7" s="72"/>
      <c r="D7" s="72"/>
      <c r="E7" s="72"/>
      <c r="F7" s="73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87"/>
      <c r="B8" s="78"/>
      <c r="C8" s="78"/>
      <c r="D8" s="78"/>
      <c r="E8" s="78"/>
      <c r="F8" s="78"/>
      <c r="G8" s="1"/>
      <c r="H8" s="2"/>
      <c r="I8" s="2"/>
      <c r="J8" s="54"/>
      <c r="K8" s="1"/>
      <c r="L8" s="1"/>
      <c r="M8" s="1"/>
      <c r="N8" s="1"/>
      <c r="O8" s="1"/>
      <c r="P8" s="1"/>
      <c r="Q8" s="1"/>
      <c r="R8" s="1"/>
      <c r="S8" s="1"/>
      <c r="T8" s="1"/>
      <c r="U8" s="55"/>
      <c r="V8" s="5"/>
      <c r="W8" s="5"/>
      <c r="X8" s="5"/>
      <c r="Y8" s="5"/>
      <c r="Z8" s="5"/>
      <c r="AA8" s="5"/>
    </row>
    <row r="9" spans="1:27" ht="14.25" customHeight="1">
      <c r="A9" s="77" t="s">
        <v>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5"/>
      <c r="Z9" s="5"/>
      <c r="AA9" s="5"/>
    </row>
    <row r="10" spans="1:27" ht="14.25" customHeight="1">
      <c r="A10" s="1"/>
      <c r="B10" s="1"/>
      <c r="C10" s="1"/>
      <c r="D10" s="1"/>
      <c r="E10" s="1"/>
      <c r="F10" s="1"/>
      <c r="G10" s="1"/>
      <c r="H10" s="2"/>
      <c r="I10" s="2"/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44"/>
      <c r="V10" s="1"/>
      <c r="W10" s="9"/>
      <c r="X10" s="1"/>
      <c r="Y10" s="5"/>
      <c r="Z10" s="5"/>
      <c r="AA10" s="5"/>
    </row>
    <row r="11" spans="1:27" ht="19.5" customHeight="1">
      <c r="A11" s="81" t="s">
        <v>5</v>
      </c>
      <c r="B11" s="72"/>
      <c r="C11" s="72"/>
      <c r="D11" s="72"/>
      <c r="E11" s="72"/>
      <c r="F11" s="72"/>
      <c r="G11" s="72"/>
      <c r="H11" s="72"/>
      <c r="I11" s="72"/>
      <c r="J11" s="73"/>
      <c r="K11" s="79" t="s">
        <v>6</v>
      </c>
      <c r="L11" s="81" t="s">
        <v>7</v>
      </c>
      <c r="M11" s="73"/>
      <c r="N11" s="79" t="s">
        <v>8</v>
      </c>
      <c r="O11" s="79" t="s">
        <v>9</v>
      </c>
      <c r="P11" s="81" t="s">
        <v>10</v>
      </c>
      <c r="Q11" s="73"/>
      <c r="R11" s="79" t="s">
        <v>11</v>
      </c>
      <c r="S11" s="81" t="s">
        <v>12</v>
      </c>
      <c r="T11" s="72"/>
      <c r="U11" s="72"/>
      <c r="V11" s="72"/>
      <c r="W11" s="72"/>
      <c r="X11" s="73"/>
      <c r="Y11" s="5"/>
      <c r="Z11" s="5"/>
      <c r="AA11" s="5"/>
    </row>
    <row r="12" spans="1:27" ht="14.25" customHeight="1">
      <c r="A12" s="81" t="s">
        <v>13</v>
      </c>
      <c r="B12" s="73"/>
      <c r="C12" s="79" t="s">
        <v>14</v>
      </c>
      <c r="D12" s="79" t="s">
        <v>15</v>
      </c>
      <c r="E12" s="81" t="s">
        <v>16</v>
      </c>
      <c r="F12" s="73"/>
      <c r="G12" s="79" t="s">
        <v>17</v>
      </c>
      <c r="H12" s="81" t="s">
        <v>18</v>
      </c>
      <c r="I12" s="73"/>
      <c r="J12" s="82" t="s">
        <v>19</v>
      </c>
      <c r="K12" s="80"/>
      <c r="L12" s="10" t="s">
        <v>20</v>
      </c>
      <c r="M12" s="10" t="s">
        <v>21</v>
      </c>
      <c r="N12" s="80"/>
      <c r="O12" s="80"/>
      <c r="P12" s="11" t="s">
        <v>22</v>
      </c>
      <c r="Q12" s="11" t="s">
        <v>23</v>
      </c>
      <c r="R12" s="80"/>
      <c r="S12" s="12" t="s">
        <v>24</v>
      </c>
      <c r="T12" s="13" t="s">
        <v>25</v>
      </c>
      <c r="U12" s="12" t="s">
        <v>26</v>
      </c>
      <c r="V12" s="14" t="s">
        <v>25</v>
      </c>
      <c r="W12" s="15" t="s">
        <v>27</v>
      </c>
      <c r="X12" s="14" t="s">
        <v>25</v>
      </c>
      <c r="Y12" s="5"/>
      <c r="Z12" s="5"/>
      <c r="AA12" s="5"/>
    </row>
    <row r="13" spans="1:27" ht="31.5" customHeight="1">
      <c r="A13" s="12" t="s">
        <v>28</v>
      </c>
      <c r="B13" s="12" t="s">
        <v>16</v>
      </c>
      <c r="C13" s="80"/>
      <c r="D13" s="80"/>
      <c r="E13" s="11" t="s">
        <v>29</v>
      </c>
      <c r="F13" s="11" t="s">
        <v>30</v>
      </c>
      <c r="G13" s="80"/>
      <c r="H13" s="11" t="s">
        <v>28</v>
      </c>
      <c r="I13" s="11" t="s">
        <v>16</v>
      </c>
      <c r="J13" s="80"/>
      <c r="K13" s="12" t="s">
        <v>31</v>
      </c>
      <c r="L13" s="11" t="s">
        <v>32</v>
      </c>
      <c r="M13" s="11" t="s">
        <v>33</v>
      </c>
      <c r="N13" s="11" t="s">
        <v>34</v>
      </c>
      <c r="O13" s="11" t="s">
        <v>35</v>
      </c>
      <c r="P13" s="11" t="s">
        <v>36</v>
      </c>
      <c r="Q13" s="11" t="s">
        <v>37</v>
      </c>
      <c r="R13" s="12" t="s">
        <v>38</v>
      </c>
      <c r="S13" s="16" t="s">
        <v>39</v>
      </c>
      <c r="T13" s="17" t="s">
        <v>40</v>
      </c>
      <c r="U13" s="16" t="s">
        <v>41</v>
      </c>
      <c r="V13" s="17" t="s">
        <v>42</v>
      </c>
      <c r="W13" s="15" t="s">
        <v>43</v>
      </c>
      <c r="X13" s="17" t="s">
        <v>44</v>
      </c>
      <c r="Y13" s="5"/>
      <c r="Z13" s="5"/>
      <c r="AA13" s="5"/>
    </row>
    <row r="14" spans="1:27" ht="63" customHeight="1">
      <c r="A14" s="18" t="s">
        <v>45</v>
      </c>
      <c r="B14" s="25" t="s">
        <v>46</v>
      </c>
      <c r="C14" s="25" t="s">
        <v>47</v>
      </c>
      <c r="D14" s="25" t="s">
        <v>48</v>
      </c>
      <c r="E14" s="53" t="s">
        <v>76</v>
      </c>
      <c r="F14" s="53" t="s">
        <v>111</v>
      </c>
      <c r="G14" s="25" t="s">
        <v>49</v>
      </c>
      <c r="H14" s="53" t="s">
        <v>94</v>
      </c>
      <c r="I14" s="53" t="s">
        <v>99</v>
      </c>
      <c r="J14" s="59">
        <v>3</v>
      </c>
      <c r="K14" s="49">
        <v>100000</v>
      </c>
      <c r="L14" s="46">
        <v>0</v>
      </c>
      <c r="M14" s="46">
        <v>23514</v>
      </c>
      <c r="N14" s="20">
        <f t="shared" ref="N14:N28" si="0">K14+L14-M14</f>
        <v>76486</v>
      </c>
      <c r="O14" s="21"/>
      <c r="P14" s="21"/>
      <c r="Q14" s="21"/>
      <c r="R14" s="20">
        <f t="shared" ref="R14:R28" si="1">N14-O14+P14+Q14</f>
        <v>76486</v>
      </c>
      <c r="S14" s="46">
        <v>0</v>
      </c>
      <c r="T14" s="22">
        <f t="shared" ref="T14:T29" si="2">IF(R14&gt;0,S14/R14,0)</f>
        <v>0</v>
      </c>
      <c r="U14" s="51">
        <v>0</v>
      </c>
      <c r="V14" s="22">
        <f t="shared" ref="V14:V29" si="3">IF(R14&gt;0,U14/R14,0)</f>
        <v>0</v>
      </c>
      <c r="W14" s="46">
        <v>0</v>
      </c>
      <c r="X14" s="22">
        <f t="shared" ref="X14:X29" si="4">IF(R14&gt;0,W14/R14,0)</f>
        <v>0</v>
      </c>
      <c r="Y14" s="5"/>
      <c r="Z14" s="5"/>
      <c r="AA14" s="5"/>
    </row>
    <row r="15" spans="1:27" ht="63" customHeight="1">
      <c r="A15" s="18" t="s">
        <v>45</v>
      </c>
      <c r="B15" s="25" t="s">
        <v>46</v>
      </c>
      <c r="C15" s="25" t="s">
        <v>47</v>
      </c>
      <c r="D15" s="25" t="s">
        <v>50</v>
      </c>
      <c r="E15" s="53" t="s">
        <v>76</v>
      </c>
      <c r="F15" s="25" t="s">
        <v>51</v>
      </c>
      <c r="G15" s="25" t="s">
        <v>49</v>
      </c>
      <c r="H15" s="53" t="s">
        <v>94</v>
      </c>
      <c r="I15" s="53" t="s">
        <v>99</v>
      </c>
      <c r="J15" s="59">
        <v>3</v>
      </c>
      <c r="K15" s="49">
        <v>77675500</v>
      </c>
      <c r="L15" s="46">
        <v>245000</v>
      </c>
      <c r="M15" s="46">
        <v>245000</v>
      </c>
      <c r="N15" s="20">
        <f t="shared" si="0"/>
        <v>77675500</v>
      </c>
      <c r="O15" s="62" t="s">
        <v>109</v>
      </c>
      <c r="P15" s="21"/>
      <c r="Q15" s="21"/>
      <c r="R15" s="20" t="e">
        <f t="shared" si="1"/>
        <v>#VALUE!</v>
      </c>
      <c r="S15" s="46">
        <v>70884217.430000007</v>
      </c>
      <c r="T15" s="22" t="e">
        <f t="shared" si="2"/>
        <v>#VALUE!</v>
      </c>
      <c r="U15" s="51">
        <v>70884217.430000007</v>
      </c>
      <c r="V15" s="22" t="e">
        <f t="shared" si="3"/>
        <v>#VALUE!</v>
      </c>
      <c r="W15" s="46">
        <v>70884217.430000007</v>
      </c>
      <c r="X15" s="22" t="e">
        <f t="shared" si="4"/>
        <v>#VALUE!</v>
      </c>
      <c r="Y15" s="23"/>
      <c r="Z15" s="5"/>
      <c r="AA15" s="5"/>
    </row>
    <row r="16" spans="1:27" ht="63" customHeight="1">
      <c r="A16" s="18" t="s">
        <v>45</v>
      </c>
      <c r="B16" s="25" t="s">
        <v>46</v>
      </c>
      <c r="C16" s="25" t="s">
        <v>47</v>
      </c>
      <c r="D16" s="25" t="s">
        <v>52</v>
      </c>
      <c r="E16" s="53" t="s">
        <v>76</v>
      </c>
      <c r="F16" s="25" t="s">
        <v>53</v>
      </c>
      <c r="G16" s="25" t="s">
        <v>49</v>
      </c>
      <c r="H16" s="53" t="s">
        <v>94</v>
      </c>
      <c r="I16" s="53" t="s">
        <v>99</v>
      </c>
      <c r="J16" s="24">
        <v>1</v>
      </c>
      <c r="K16" s="49">
        <v>470000000</v>
      </c>
      <c r="L16" s="46">
        <v>38143744.359999999</v>
      </c>
      <c r="M16" s="46">
        <v>38143744.359999999</v>
      </c>
      <c r="N16" s="20">
        <f t="shared" si="0"/>
        <v>470000000</v>
      </c>
      <c r="O16" s="21"/>
      <c r="P16" s="21"/>
      <c r="Q16" s="21"/>
      <c r="R16" s="20">
        <f t="shared" si="1"/>
        <v>470000000</v>
      </c>
      <c r="S16" s="46">
        <v>409765853.77999997</v>
      </c>
      <c r="T16" s="22">
        <f t="shared" si="2"/>
        <v>0.8718422420851063</v>
      </c>
      <c r="U16" s="47">
        <v>409760885.00999999</v>
      </c>
      <c r="V16" s="22">
        <f t="shared" si="3"/>
        <v>0.87183167023404251</v>
      </c>
      <c r="W16" s="46">
        <v>408810576.68000001</v>
      </c>
      <c r="X16" s="22">
        <f t="shared" si="4"/>
        <v>0.86980973761702129</v>
      </c>
      <c r="Y16" s="5"/>
      <c r="Z16" s="5"/>
      <c r="AA16" s="5"/>
    </row>
    <row r="17" spans="1:27" ht="63" customHeight="1">
      <c r="A17" s="18" t="s">
        <v>45</v>
      </c>
      <c r="B17" s="25" t="s">
        <v>46</v>
      </c>
      <c r="C17" s="25" t="s">
        <v>47</v>
      </c>
      <c r="D17" s="25" t="s">
        <v>55</v>
      </c>
      <c r="E17" s="25" t="s">
        <v>56</v>
      </c>
      <c r="F17" s="25" t="s">
        <v>57</v>
      </c>
      <c r="G17" s="25" t="s">
        <v>49</v>
      </c>
      <c r="H17" s="53" t="s">
        <v>94</v>
      </c>
      <c r="I17" s="53" t="s">
        <v>99</v>
      </c>
      <c r="J17" s="59">
        <v>3</v>
      </c>
      <c r="K17" s="49">
        <v>22575500</v>
      </c>
      <c r="L17" s="46">
        <v>46000</v>
      </c>
      <c r="M17" s="46">
        <v>46000</v>
      </c>
      <c r="N17" s="20">
        <f t="shared" si="0"/>
        <v>22575500</v>
      </c>
      <c r="O17" s="21"/>
      <c r="P17" s="21"/>
      <c r="Q17" s="21"/>
      <c r="R17" s="20">
        <f t="shared" si="1"/>
        <v>22575500</v>
      </c>
      <c r="S17" s="46">
        <v>20711512.030000001</v>
      </c>
      <c r="T17" s="22">
        <f t="shared" si="2"/>
        <v>0.91743314788155306</v>
      </c>
      <c r="U17" s="51">
        <v>20711512.030000001</v>
      </c>
      <c r="V17" s="22">
        <f t="shared" si="3"/>
        <v>0.91743314788155306</v>
      </c>
      <c r="W17" s="46">
        <v>20711512.030000001</v>
      </c>
      <c r="X17" s="22">
        <f t="shared" si="4"/>
        <v>0.91743314788155306</v>
      </c>
      <c r="Y17" s="5"/>
      <c r="Z17" s="5"/>
      <c r="AA17" s="5"/>
    </row>
    <row r="18" spans="1:27" ht="63" customHeight="1">
      <c r="A18" s="18" t="s">
        <v>45</v>
      </c>
      <c r="B18" s="25" t="s">
        <v>46</v>
      </c>
      <c r="C18" s="25" t="s">
        <v>47</v>
      </c>
      <c r="D18" s="53" t="s">
        <v>82</v>
      </c>
      <c r="E18" s="25" t="s">
        <v>56</v>
      </c>
      <c r="F18" s="53" t="s">
        <v>112</v>
      </c>
      <c r="G18" s="25" t="s">
        <v>49</v>
      </c>
      <c r="H18" s="53" t="s">
        <v>94</v>
      </c>
      <c r="I18" s="53" t="s">
        <v>99</v>
      </c>
      <c r="J18" s="59">
        <v>3</v>
      </c>
      <c r="K18" s="49">
        <v>50000</v>
      </c>
      <c r="L18" s="46">
        <v>0</v>
      </c>
      <c r="M18" s="46">
        <v>50000</v>
      </c>
      <c r="N18" s="20">
        <f t="shared" si="0"/>
        <v>0</v>
      </c>
      <c r="O18" s="21"/>
      <c r="P18" s="21"/>
      <c r="Q18" s="21"/>
      <c r="R18" s="20">
        <f t="shared" si="1"/>
        <v>0</v>
      </c>
      <c r="S18" s="46">
        <v>0</v>
      </c>
      <c r="T18" s="22">
        <f t="shared" si="2"/>
        <v>0</v>
      </c>
      <c r="U18" s="51">
        <v>0</v>
      </c>
      <c r="V18" s="22">
        <f t="shared" si="3"/>
        <v>0</v>
      </c>
      <c r="W18" s="46">
        <v>0</v>
      </c>
      <c r="X18" s="22">
        <f t="shared" si="4"/>
        <v>0</v>
      </c>
      <c r="Y18" s="5"/>
      <c r="Z18" s="5"/>
      <c r="AA18" s="5"/>
    </row>
    <row r="19" spans="1:27" ht="63" customHeight="1">
      <c r="A19" s="18" t="s">
        <v>45</v>
      </c>
      <c r="B19" s="25" t="s">
        <v>46</v>
      </c>
      <c r="C19" s="25" t="s">
        <v>47</v>
      </c>
      <c r="D19" s="25" t="s">
        <v>58</v>
      </c>
      <c r="E19" s="25" t="s">
        <v>56</v>
      </c>
      <c r="F19" s="53" t="s">
        <v>100</v>
      </c>
      <c r="G19" s="25" t="s">
        <v>49</v>
      </c>
      <c r="H19" s="53" t="s">
        <v>94</v>
      </c>
      <c r="I19" s="53" t="s">
        <v>99</v>
      </c>
      <c r="J19" s="24">
        <v>1</v>
      </c>
      <c r="K19" s="49">
        <v>123000000</v>
      </c>
      <c r="L19" s="46">
        <v>7715896.0700000003</v>
      </c>
      <c r="M19" s="46">
        <v>7715896.0700000003</v>
      </c>
      <c r="N19" s="20">
        <f t="shared" si="0"/>
        <v>123000000</v>
      </c>
      <c r="O19" s="21"/>
      <c r="P19" s="21"/>
      <c r="Q19" s="21"/>
      <c r="R19" s="20">
        <f t="shared" si="1"/>
        <v>123000000</v>
      </c>
      <c r="S19" s="46">
        <v>108296626.7</v>
      </c>
      <c r="T19" s="22">
        <f t="shared" si="2"/>
        <v>0.88046037967479673</v>
      </c>
      <c r="U19" s="47">
        <v>108296626.7</v>
      </c>
      <c r="V19" s="22">
        <f t="shared" si="3"/>
        <v>0.88046037967479673</v>
      </c>
      <c r="W19" s="46">
        <v>107610401.20999999</v>
      </c>
      <c r="X19" s="22">
        <f t="shared" si="4"/>
        <v>0.87488131065040642</v>
      </c>
      <c r="Y19" s="5"/>
      <c r="Z19" s="5"/>
      <c r="AA19" s="5"/>
    </row>
    <row r="20" spans="1:27" ht="63" customHeight="1">
      <c r="A20" s="18" t="s">
        <v>45</v>
      </c>
      <c r="B20" s="25" t="s">
        <v>46</v>
      </c>
      <c r="C20" s="25" t="s">
        <v>47</v>
      </c>
      <c r="D20" s="25" t="s">
        <v>59</v>
      </c>
      <c r="E20" s="25" t="s">
        <v>56</v>
      </c>
      <c r="F20" s="25" t="s">
        <v>60</v>
      </c>
      <c r="G20" s="25" t="s">
        <v>49</v>
      </c>
      <c r="H20" s="53" t="s">
        <v>94</v>
      </c>
      <c r="I20" s="53" t="s">
        <v>99</v>
      </c>
      <c r="J20" s="24">
        <v>1</v>
      </c>
      <c r="K20" s="49">
        <v>151000000</v>
      </c>
      <c r="L20" s="46">
        <v>886952.4</v>
      </c>
      <c r="M20" s="46">
        <v>886952.4</v>
      </c>
      <c r="N20" s="20">
        <f t="shared" si="0"/>
        <v>151000000</v>
      </c>
      <c r="O20" s="21"/>
      <c r="P20" s="21"/>
      <c r="Q20" s="21"/>
      <c r="R20" s="20">
        <f t="shared" si="1"/>
        <v>151000000</v>
      </c>
      <c r="S20" s="46">
        <v>133125193.83</v>
      </c>
      <c r="T20" s="22">
        <f t="shared" si="2"/>
        <v>0.88162380019867548</v>
      </c>
      <c r="U20" s="47">
        <v>133125193.83</v>
      </c>
      <c r="V20" s="22">
        <f t="shared" si="3"/>
        <v>0.88162380019867548</v>
      </c>
      <c r="W20" s="46">
        <v>132596364.93000001</v>
      </c>
      <c r="X20" s="22">
        <f t="shared" si="4"/>
        <v>0.87812162205298017</v>
      </c>
      <c r="Y20" s="5"/>
      <c r="Z20" s="5"/>
      <c r="AA20" s="5"/>
    </row>
    <row r="21" spans="1:27" ht="63" customHeight="1">
      <c r="A21" s="18" t="s">
        <v>45</v>
      </c>
      <c r="B21" s="25" t="s">
        <v>46</v>
      </c>
      <c r="C21" s="25" t="s">
        <v>47</v>
      </c>
      <c r="D21" s="25" t="s">
        <v>61</v>
      </c>
      <c r="E21" s="25" t="s">
        <v>56</v>
      </c>
      <c r="F21" s="25" t="s">
        <v>62</v>
      </c>
      <c r="G21" s="25" t="s">
        <v>49</v>
      </c>
      <c r="H21" s="53" t="s">
        <v>94</v>
      </c>
      <c r="I21" s="53" t="s">
        <v>99</v>
      </c>
      <c r="J21" s="59">
        <v>3</v>
      </c>
      <c r="K21" s="49">
        <v>25475500</v>
      </c>
      <c r="L21" s="46">
        <v>0</v>
      </c>
      <c r="M21" s="46">
        <v>0</v>
      </c>
      <c r="N21" s="20">
        <f t="shared" si="0"/>
        <v>25475500</v>
      </c>
      <c r="O21" s="21"/>
      <c r="P21" s="21"/>
      <c r="Q21" s="21"/>
      <c r="R21" s="20">
        <f t="shared" si="1"/>
        <v>25475500</v>
      </c>
      <c r="S21" s="46">
        <v>22966080.420000002</v>
      </c>
      <c r="T21" s="22">
        <f t="shared" si="2"/>
        <v>0.90149674864085105</v>
      </c>
      <c r="U21" s="51">
        <v>22966080.420000002</v>
      </c>
      <c r="V21" s="22">
        <f t="shared" si="3"/>
        <v>0.90149674864085105</v>
      </c>
      <c r="W21" s="46">
        <v>22966080.420000002</v>
      </c>
      <c r="X21" s="22">
        <f t="shared" si="4"/>
        <v>0.90149674864085105</v>
      </c>
      <c r="Y21" s="5"/>
      <c r="Z21" s="5"/>
      <c r="AA21" s="5"/>
    </row>
    <row r="22" spans="1:27" ht="63" customHeight="1">
      <c r="A22" s="58" t="s">
        <v>45</v>
      </c>
      <c r="B22" s="53" t="s">
        <v>46</v>
      </c>
      <c r="C22" s="53" t="s">
        <v>63</v>
      </c>
      <c r="D22" s="53" t="s">
        <v>127</v>
      </c>
      <c r="E22" s="53" t="s">
        <v>131</v>
      </c>
      <c r="F22" s="53" t="s">
        <v>128</v>
      </c>
      <c r="G22" s="53" t="s">
        <v>49</v>
      </c>
      <c r="H22" s="53" t="s">
        <v>129</v>
      </c>
      <c r="I22" s="53" t="s">
        <v>130</v>
      </c>
      <c r="J22" s="63">
        <v>3</v>
      </c>
      <c r="K22" s="49">
        <v>0</v>
      </c>
      <c r="L22" s="49">
        <v>200000</v>
      </c>
      <c r="M22" s="49">
        <v>0</v>
      </c>
      <c r="N22" s="27">
        <f t="shared" si="0"/>
        <v>200000</v>
      </c>
      <c r="O22" s="70"/>
      <c r="P22" s="70"/>
      <c r="Q22" s="70"/>
      <c r="R22" s="27">
        <f t="shared" si="1"/>
        <v>200000</v>
      </c>
      <c r="S22" s="49">
        <v>0</v>
      </c>
      <c r="T22" s="28">
        <f t="shared" si="2"/>
        <v>0</v>
      </c>
      <c r="U22" s="51">
        <v>0</v>
      </c>
      <c r="V22" s="28">
        <f t="shared" si="3"/>
        <v>0</v>
      </c>
      <c r="W22" s="49">
        <v>0</v>
      </c>
      <c r="X22" s="28">
        <f t="shared" si="4"/>
        <v>0</v>
      </c>
      <c r="Y22" s="5"/>
      <c r="Z22" s="5"/>
      <c r="AA22" s="5"/>
    </row>
    <row r="23" spans="1:27" ht="63" customHeight="1">
      <c r="A23" s="18" t="s">
        <v>45</v>
      </c>
      <c r="B23" s="25" t="s">
        <v>46</v>
      </c>
      <c r="C23" s="25" t="s">
        <v>64</v>
      </c>
      <c r="D23" s="25" t="s">
        <v>65</v>
      </c>
      <c r="E23" s="25" t="s">
        <v>56</v>
      </c>
      <c r="F23" s="25" t="s">
        <v>66</v>
      </c>
      <c r="G23" s="25" t="s">
        <v>49</v>
      </c>
      <c r="H23" s="53" t="s">
        <v>94</v>
      </c>
      <c r="I23" s="53" t="s">
        <v>99</v>
      </c>
      <c r="J23" s="24">
        <v>1</v>
      </c>
      <c r="K23" s="48">
        <v>300000</v>
      </c>
      <c r="L23" s="46">
        <v>73514</v>
      </c>
      <c r="M23" s="46">
        <v>0</v>
      </c>
      <c r="N23" s="20">
        <f t="shared" si="0"/>
        <v>373514</v>
      </c>
      <c r="O23" s="20"/>
      <c r="P23" s="20"/>
      <c r="Q23" s="20"/>
      <c r="R23" s="20">
        <f t="shared" si="1"/>
        <v>373514</v>
      </c>
      <c r="S23" s="49">
        <v>373514</v>
      </c>
      <c r="T23" s="22">
        <f t="shared" si="2"/>
        <v>1</v>
      </c>
      <c r="U23" s="47">
        <v>373514</v>
      </c>
      <c r="V23" s="22">
        <f t="shared" si="3"/>
        <v>1</v>
      </c>
      <c r="W23" s="46">
        <v>373514</v>
      </c>
      <c r="X23" s="22">
        <f t="shared" si="4"/>
        <v>1</v>
      </c>
      <c r="Y23" s="5"/>
      <c r="Z23" s="5"/>
      <c r="AA23" s="5"/>
    </row>
    <row r="24" spans="1:27" ht="63" customHeight="1">
      <c r="A24" s="58" t="s">
        <v>45</v>
      </c>
      <c r="B24" s="25" t="s">
        <v>46</v>
      </c>
      <c r="C24" s="53" t="s">
        <v>64</v>
      </c>
      <c r="D24" s="53" t="s">
        <v>65</v>
      </c>
      <c r="E24" s="25" t="s">
        <v>56</v>
      </c>
      <c r="F24" s="25" t="s">
        <v>66</v>
      </c>
      <c r="G24" s="53" t="s">
        <v>49</v>
      </c>
      <c r="H24" s="53" t="s">
        <v>94</v>
      </c>
      <c r="I24" s="53" t="s">
        <v>99</v>
      </c>
      <c r="J24" s="63">
        <v>3</v>
      </c>
      <c r="K24" s="48">
        <v>0</v>
      </c>
      <c r="L24" s="46">
        <v>50000</v>
      </c>
      <c r="M24" s="46">
        <v>50000</v>
      </c>
      <c r="N24" s="20">
        <f t="shared" si="0"/>
        <v>0</v>
      </c>
      <c r="O24" s="20"/>
      <c r="P24" s="20"/>
      <c r="Q24" s="20"/>
      <c r="R24" s="20">
        <f t="shared" si="1"/>
        <v>0</v>
      </c>
      <c r="S24" s="49">
        <v>0</v>
      </c>
      <c r="T24" s="22">
        <f t="shared" si="2"/>
        <v>0</v>
      </c>
      <c r="U24" s="69">
        <v>0</v>
      </c>
      <c r="V24" s="22">
        <f t="shared" si="3"/>
        <v>0</v>
      </c>
      <c r="W24" s="46">
        <v>0</v>
      </c>
      <c r="X24" s="22">
        <f t="shared" si="4"/>
        <v>0</v>
      </c>
      <c r="Y24" s="5"/>
      <c r="Z24" s="5"/>
      <c r="AA24" s="5"/>
    </row>
    <row r="25" spans="1:27" ht="63" customHeight="1">
      <c r="A25" s="58" t="s">
        <v>45</v>
      </c>
      <c r="B25" s="53" t="s">
        <v>46</v>
      </c>
      <c r="C25" s="53" t="s">
        <v>64</v>
      </c>
      <c r="D25" s="53" t="s">
        <v>54</v>
      </c>
      <c r="E25" s="25" t="s">
        <v>56</v>
      </c>
      <c r="F25" s="53" t="s">
        <v>113</v>
      </c>
      <c r="G25" s="53" t="s">
        <v>49</v>
      </c>
      <c r="H25" s="53" t="s">
        <v>94</v>
      </c>
      <c r="I25" s="53" t="s">
        <v>99</v>
      </c>
      <c r="J25" s="65">
        <v>1</v>
      </c>
      <c r="K25" s="48">
        <v>300000</v>
      </c>
      <c r="L25" s="46">
        <v>0</v>
      </c>
      <c r="M25" s="46">
        <v>0</v>
      </c>
      <c r="N25" s="20">
        <f t="shared" si="0"/>
        <v>300000</v>
      </c>
      <c r="O25" s="20"/>
      <c r="P25" s="20"/>
      <c r="Q25" s="20"/>
      <c r="R25" s="20">
        <f t="shared" si="1"/>
        <v>300000</v>
      </c>
      <c r="S25" s="49">
        <v>249715</v>
      </c>
      <c r="T25" s="22">
        <f t="shared" si="2"/>
        <v>0.83238333333333336</v>
      </c>
      <c r="U25" s="47">
        <v>249715</v>
      </c>
      <c r="V25" s="22">
        <f t="shared" si="3"/>
        <v>0.83238333333333336</v>
      </c>
      <c r="W25" s="46">
        <v>249715</v>
      </c>
      <c r="X25" s="22">
        <f t="shared" si="4"/>
        <v>0.83238333333333336</v>
      </c>
      <c r="Y25" s="5"/>
      <c r="Z25" s="5"/>
      <c r="AA25" s="5"/>
    </row>
    <row r="26" spans="1:27" ht="63" customHeight="1">
      <c r="A26" s="18" t="s">
        <v>45</v>
      </c>
      <c r="B26" s="25" t="s">
        <v>46</v>
      </c>
      <c r="C26" s="25" t="s">
        <v>67</v>
      </c>
      <c r="D26" s="25" t="s">
        <v>68</v>
      </c>
      <c r="E26" s="53" t="s">
        <v>101</v>
      </c>
      <c r="F26" s="25" t="s">
        <v>69</v>
      </c>
      <c r="G26" s="53" t="s">
        <v>102</v>
      </c>
      <c r="H26" s="53" t="s">
        <v>94</v>
      </c>
      <c r="I26" s="53" t="s">
        <v>99</v>
      </c>
      <c r="J26" s="24">
        <v>1</v>
      </c>
      <c r="K26" s="49">
        <f>153539737-K27</f>
        <v>147464237</v>
      </c>
      <c r="L26" s="46">
        <f>40728756.2-L27</f>
        <v>39728756.200000003</v>
      </c>
      <c r="M26" s="46">
        <v>40728756.200000003</v>
      </c>
      <c r="N26" s="20">
        <f t="shared" si="0"/>
        <v>146464237</v>
      </c>
      <c r="O26" s="20"/>
      <c r="P26" s="20"/>
      <c r="Q26" s="20">
        <f>-20768367.21-35538741.22</f>
        <v>-56307108.43</v>
      </c>
      <c r="R26" s="20">
        <f t="shared" si="1"/>
        <v>90157128.569999993</v>
      </c>
      <c r="S26" s="46">
        <f>72771419.49-S27</f>
        <v>66408195.859999992</v>
      </c>
      <c r="T26" s="22">
        <f t="shared" si="2"/>
        <v>0.7365828627565395</v>
      </c>
      <c r="U26" s="47">
        <f>72771419.49-U27</f>
        <v>66408195.859999992</v>
      </c>
      <c r="V26" s="22">
        <f t="shared" si="3"/>
        <v>0.7365828627565395</v>
      </c>
      <c r="W26" s="46">
        <f>72771419.49-W27</f>
        <v>66408195.859999992</v>
      </c>
      <c r="X26" s="22">
        <f t="shared" si="4"/>
        <v>0.7365828627565395</v>
      </c>
      <c r="Y26" s="5"/>
      <c r="Z26" s="5"/>
      <c r="AA26" s="5"/>
    </row>
    <row r="27" spans="1:27" ht="63" customHeight="1">
      <c r="A27" s="18" t="s">
        <v>45</v>
      </c>
      <c r="B27" s="25" t="s">
        <v>46</v>
      </c>
      <c r="C27" s="25" t="s">
        <v>67</v>
      </c>
      <c r="D27" s="25" t="s">
        <v>68</v>
      </c>
      <c r="E27" s="53" t="s">
        <v>101</v>
      </c>
      <c r="F27" s="25" t="s">
        <v>69</v>
      </c>
      <c r="G27" s="53" t="s">
        <v>102</v>
      </c>
      <c r="H27" s="53" t="s">
        <v>94</v>
      </c>
      <c r="I27" s="53" t="s">
        <v>99</v>
      </c>
      <c r="J27" s="59">
        <v>3</v>
      </c>
      <c r="K27" s="49">
        <v>6075500</v>
      </c>
      <c r="L27" s="46">
        <v>1000000</v>
      </c>
      <c r="M27" s="46">
        <v>0</v>
      </c>
      <c r="N27" s="20">
        <f t="shared" si="0"/>
        <v>7075500</v>
      </c>
      <c r="O27" s="20"/>
      <c r="P27" s="20"/>
      <c r="Q27" s="57"/>
      <c r="R27" s="20">
        <f t="shared" si="1"/>
        <v>7075500</v>
      </c>
      <c r="S27" s="46">
        <f>47721.31+218461.63+6097040.69</f>
        <v>6363223.6300000008</v>
      </c>
      <c r="T27" s="22">
        <f t="shared" si="2"/>
        <v>0.89933200904529731</v>
      </c>
      <c r="U27" s="51">
        <f>47721.31+218461.63+6097040.69</f>
        <v>6363223.6300000008</v>
      </c>
      <c r="V27" s="22">
        <f t="shared" si="3"/>
        <v>0.89933200904529731</v>
      </c>
      <c r="W27" s="46">
        <f>47721.31+218461.63+6097040.69</f>
        <v>6363223.6300000008</v>
      </c>
      <c r="X27" s="22">
        <f t="shared" si="4"/>
        <v>0.89933200904529731</v>
      </c>
      <c r="Y27" s="5"/>
      <c r="Z27" s="5"/>
      <c r="AA27" s="5"/>
    </row>
    <row r="28" spans="1:27" ht="63" customHeight="1">
      <c r="A28" s="18" t="s">
        <v>45</v>
      </c>
      <c r="B28" s="19" t="s">
        <v>46</v>
      </c>
      <c r="C28" s="19" t="s">
        <v>70</v>
      </c>
      <c r="D28" s="19" t="s">
        <v>71</v>
      </c>
      <c r="E28" s="45" t="s">
        <v>103</v>
      </c>
      <c r="F28" s="19" t="s">
        <v>72</v>
      </c>
      <c r="G28" s="19" t="s">
        <v>49</v>
      </c>
      <c r="H28" s="45" t="s">
        <v>94</v>
      </c>
      <c r="I28" s="53" t="s">
        <v>99</v>
      </c>
      <c r="J28" s="24">
        <v>1</v>
      </c>
      <c r="K28" s="46">
        <v>152763</v>
      </c>
      <c r="L28" s="46">
        <v>0</v>
      </c>
      <c r="M28" s="46">
        <v>0</v>
      </c>
      <c r="N28" s="20">
        <f t="shared" si="0"/>
        <v>152763</v>
      </c>
      <c r="O28" s="20"/>
      <c r="P28" s="20"/>
      <c r="Q28" s="20"/>
      <c r="R28" s="20">
        <f t="shared" si="1"/>
        <v>152763</v>
      </c>
      <c r="S28" s="46">
        <v>58555.32</v>
      </c>
      <c r="T28" s="22">
        <f t="shared" si="2"/>
        <v>0.38330826181732486</v>
      </c>
      <c r="U28" s="47">
        <v>58555.32</v>
      </c>
      <c r="V28" s="22">
        <f t="shared" si="3"/>
        <v>0.38330826181732486</v>
      </c>
      <c r="W28" s="46">
        <v>58555.32</v>
      </c>
      <c r="X28" s="22">
        <f t="shared" si="4"/>
        <v>0.38330826181732486</v>
      </c>
      <c r="Y28" s="5"/>
      <c r="Z28" s="5"/>
      <c r="AA28" s="5"/>
    </row>
    <row r="29" spans="1:27" ht="16.5" customHeight="1">
      <c r="A29" s="83" t="s">
        <v>73</v>
      </c>
      <c r="B29" s="72"/>
      <c r="C29" s="72"/>
      <c r="D29" s="72"/>
      <c r="E29" s="72"/>
      <c r="F29" s="72"/>
      <c r="G29" s="72"/>
      <c r="H29" s="72"/>
      <c r="I29" s="72"/>
      <c r="J29" s="73"/>
      <c r="K29" s="29">
        <f t="shared" ref="K29:S29" si="5">SUM(K14:K28)</f>
        <v>1024169000</v>
      </c>
      <c r="L29" s="29">
        <f t="shared" si="5"/>
        <v>88089863.030000001</v>
      </c>
      <c r="M29" s="29">
        <f t="shared" si="5"/>
        <v>87889863.030000001</v>
      </c>
      <c r="N29" s="29">
        <f t="shared" si="5"/>
        <v>1024369000</v>
      </c>
      <c r="O29" s="29">
        <f t="shared" si="5"/>
        <v>0</v>
      </c>
      <c r="P29" s="29">
        <f t="shared" si="5"/>
        <v>0</v>
      </c>
      <c r="Q29" s="29">
        <f t="shared" si="5"/>
        <v>-56307108.43</v>
      </c>
      <c r="R29" s="29" t="e">
        <f t="shared" si="5"/>
        <v>#VALUE!</v>
      </c>
      <c r="S29" s="29">
        <f t="shared" si="5"/>
        <v>839202688.00000012</v>
      </c>
      <c r="T29" s="30" t="e">
        <f t="shared" si="2"/>
        <v>#VALUE!</v>
      </c>
      <c r="U29" s="29">
        <f>SUM(U14:U28)</f>
        <v>839197719.23000014</v>
      </c>
      <c r="V29" s="30" t="e">
        <f t="shared" si="3"/>
        <v>#VALUE!</v>
      </c>
      <c r="W29" s="29">
        <f>SUM(W14:W28)</f>
        <v>837032356.50999999</v>
      </c>
      <c r="X29" s="30" t="e">
        <f t="shared" si="4"/>
        <v>#VALUE!</v>
      </c>
      <c r="Y29" s="5"/>
      <c r="Z29" s="5"/>
      <c r="AA29" s="5"/>
    </row>
    <row r="30" spans="1:27" ht="1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29"/>
      <c r="L30" s="29"/>
      <c r="M30" s="29"/>
      <c r="N30" s="29"/>
      <c r="O30" s="29"/>
      <c r="P30" s="29"/>
      <c r="Q30" s="29"/>
      <c r="R30" s="29"/>
      <c r="S30" s="29"/>
      <c r="T30" s="30"/>
      <c r="U30" s="29"/>
      <c r="V30" s="30"/>
      <c r="W30" s="29"/>
      <c r="X30" s="30"/>
      <c r="Y30" s="5"/>
      <c r="Z30" s="5"/>
      <c r="AA30" s="5"/>
    </row>
    <row r="31" spans="1:27" ht="1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28"/>
      <c r="U31" s="33"/>
      <c r="V31" s="28"/>
      <c r="W31" s="33"/>
      <c r="X31" s="28"/>
      <c r="Y31" s="5"/>
      <c r="Z31" s="5"/>
      <c r="AA31" s="5"/>
    </row>
    <row r="32" spans="1:27" ht="54" customHeight="1">
      <c r="A32" s="58" t="s">
        <v>74</v>
      </c>
      <c r="B32" s="25" t="s">
        <v>75</v>
      </c>
      <c r="C32" s="53" t="s">
        <v>47</v>
      </c>
      <c r="D32" s="53" t="s">
        <v>77</v>
      </c>
      <c r="E32" s="25" t="s">
        <v>76</v>
      </c>
      <c r="F32" s="53" t="s">
        <v>114</v>
      </c>
      <c r="G32" s="53" t="s">
        <v>49</v>
      </c>
      <c r="H32" s="53" t="s">
        <v>95</v>
      </c>
      <c r="I32" s="53" t="s">
        <v>104</v>
      </c>
      <c r="J32" s="61">
        <v>4</v>
      </c>
      <c r="K32" s="48">
        <v>43418381</v>
      </c>
      <c r="L32" s="46">
        <v>0</v>
      </c>
      <c r="M32" s="46">
        <v>43414420.840000004</v>
      </c>
      <c r="N32" s="20">
        <f t="shared" ref="N32:N73" si="6">K32+L32-M32</f>
        <v>3960.1599999964237</v>
      </c>
      <c r="O32" s="21"/>
      <c r="P32" s="21"/>
      <c r="Q32" s="21"/>
      <c r="R32" s="20">
        <f t="shared" ref="R32:R73" si="7">N32-O32+P32+Q32</f>
        <v>3960.1599999964237</v>
      </c>
      <c r="S32" s="50">
        <v>0</v>
      </c>
      <c r="T32" s="22">
        <f t="shared" ref="T32:T75" si="8">IF(R32&gt;0,S32/R32,0)</f>
        <v>0</v>
      </c>
      <c r="U32" s="52">
        <v>0</v>
      </c>
      <c r="V32" s="22">
        <f t="shared" ref="V32:V75" si="9">IF(R32&gt;0,U32/R32,0)</f>
        <v>0</v>
      </c>
      <c r="W32" s="46">
        <v>0</v>
      </c>
      <c r="X32" s="22">
        <f t="shared" ref="X32:X75" si="10">IF(R32&gt;0,W32/R32,0)</f>
        <v>0</v>
      </c>
      <c r="Y32" s="5"/>
      <c r="Z32" s="5"/>
      <c r="AA32" s="5"/>
    </row>
    <row r="33" spans="1:27" ht="54" customHeight="1">
      <c r="A33" s="58" t="s">
        <v>74</v>
      </c>
      <c r="B33" s="25" t="s">
        <v>75</v>
      </c>
      <c r="C33" s="53" t="s">
        <v>47</v>
      </c>
      <c r="D33" s="53" t="s">
        <v>110</v>
      </c>
      <c r="E33" s="25" t="s">
        <v>76</v>
      </c>
      <c r="F33" s="53" t="s">
        <v>114</v>
      </c>
      <c r="G33" s="53" t="s">
        <v>49</v>
      </c>
      <c r="H33" s="53" t="s">
        <v>95</v>
      </c>
      <c r="I33" s="53" t="s">
        <v>104</v>
      </c>
      <c r="J33" s="61">
        <v>4</v>
      </c>
      <c r="K33" s="48">
        <v>0</v>
      </c>
      <c r="L33" s="46">
        <v>3585427.69</v>
      </c>
      <c r="M33" s="46">
        <v>0</v>
      </c>
      <c r="N33" s="20">
        <f t="shared" si="6"/>
        <v>3585427.69</v>
      </c>
      <c r="O33" s="21"/>
      <c r="P33" s="21"/>
      <c r="Q33" s="21"/>
      <c r="R33" s="20">
        <f t="shared" si="7"/>
        <v>3585427.69</v>
      </c>
      <c r="S33" s="50">
        <v>3585427.69</v>
      </c>
      <c r="T33" s="22">
        <f t="shared" si="8"/>
        <v>1</v>
      </c>
      <c r="U33" s="52">
        <v>2287686.35</v>
      </c>
      <c r="V33" s="22">
        <f t="shared" si="9"/>
        <v>0.63805117486555696</v>
      </c>
      <c r="W33" s="46">
        <v>2287686.35</v>
      </c>
      <c r="X33" s="22">
        <f t="shared" si="10"/>
        <v>0.63805117486555696</v>
      </c>
      <c r="Y33" s="5"/>
      <c r="Z33" s="5"/>
      <c r="AA33" s="5"/>
    </row>
    <row r="34" spans="1:27" ht="54" customHeight="1">
      <c r="A34" s="58" t="s">
        <v>74</v>
      </c>
      <c r="B34" s="25" t="s">
        <v>75</v>
      </c>
      <c r="C34" s="53" t="s">
        <v>47</v>
      </c>
      <c r="D34" s="53" t="s">
        <v>125</v>
      </c>
      <c r="E34" s="25" t="s">
        <v>76</v>
      </c>
      <c r="F34" s="53" t="s">
        <v>114</v>
      </c>
      <c r="G34" s="53" t="s">
        <v>49</v>
      </c>
      <c r="H34" s="53" t="s">
        <v>95</v>
      </c>
      <c r="I34" s="53" t="s">
        <v>104</v>
      </c>
      <c r="J34" s="61">
        <v>4</v>
      </c>
      <c r="K34" s="48">
        <v>0</v>
      </c>
      <c r="L34" s="46">
        <v>2127920.88</v>
      </c>
      <c r="M34" s="46">
        <v>0</v>
      </c>
      <c r="N34" s="20">
        <f t="shared" si="6"/>
        <v>2127920.88</v>
      </c>
      <c r="O34" s="21"/>
      <c r="P34" s="21"/>
      <c r="Q34" s="21"/>
      <c r="R34" s="20">
        <f t="shared" si="7"/>
        <v>2127920.88</v>
      </c>
      <c r="S34" s="50">
        <v>1471837.17</v>
      </c>
      <c r="T34" s="22">
        <f t="shared" si="8"/>
        <v>0.69167852237062499</v>
      </c>
      <c r="U34" s="52">
        <v>237452.98</v>
      </c>
      <c r="V34" s="22">
        <f t="shared" si="9"/>
        <v>0.11158919592912685</v>
      </c>
      <c r="W34" s="46">
        <v>237452.98</v>
      </c>
      <c r="X34" s="22">
        <f t="shared" si="10"/>
        <v>0.11158919592912685</v>
      </c>
      <c r="Y34" s="5"/>
      <c r="Z34" s="5"/>
      <c r="AA34" s="5"/>
    </row>
    <row r="35" spans="1:27" ht="54" customHeight="1">
      <c r="A35" s="58" t="s">
        <v>74</v>
      </c>
      <c r="B35" s="25" t="s">
        <v>75</v>
      </c>
      <c r="C35" s="53" t="s">
        <v>47</v>
      </c>
      <c r="D35" s="53" t="s">
        <v>96</v>
      </c>
      <c r="E35" s="25" t="s">
        <v>76</v>
      </c>
      <c r="F35" s="53" t="s">
        <v>114</v>
      </c>
      <c r="G35" s="53" t="s">
        <v>49</v>
      </c>
      <c r="H35" s="53" t="s">
        <v>95</v>
      </c>
      <c r="I35" s="53" t="s">
        <v>104</v>
      </c>
      <c r="J35" s="61">
        <v>4</v>
      </c>
      <c r="K35" s="48">
        <v>0</v>
      </c>
      <c r="L35" s="46">
        <v>36029880.039999999</v>
      </c>
      <c r="M35" s="46">
        <v>0</v>
      </c>
      <c r="N35" s="20">
        <f t="shared" si="6"/>
        <v>36029880.039999999</v>
      </c>
      <c r="O35" s="21"/>
      <c r="P35" s="21"/>
      <c r="Q35" s="21"/>
      <c r="R35" s="20">
        <f t="shared" si="7"/>
        <v>36029880.039999999</v>
      </c>
      <c r="S35" s="50">
        <v>36029880.039999999</v>
      </c>
      <c r="T35" s="22">
        <f t="shared" si="8"/>
        <v>1</v>
      </c>
      <c r="U35" s="52">
        <v>9363307.5899999999</v>
      </c>
      <c r="V35" s="22">
        <f t="shared" si="9"/>
        <v>0.25987617998186374</v>
      </c>
      <c r="W35" s="46">
        <v>9363307.5899999999</v>
      </c>
      <c r="X35" s="22">
        <f t="shared" si="10"/>
        <v>0.25987617998186374</v>
      </c>
      <c r="Y35" s="5"/>
      <c r="Z35" s="5"/>
      <c r="AA35" s="5"/>
    </row>
    <row r="36" spans="1:27" ht="54" customHeight="1">
      <c r="A36" s="58" t="s">
        <v>74</v>
      </c>
      <c r="B36" s="25" t="s">
        <v>75</v>
      </c>
      <c r="C36" s="53" t="s">
        <v>47</v>
      </c>
      <c r="D36" s="53" t="s">
        <v>96</v>
      </c>
      <c r="E36" s="25" t="s">
        <v>76</v>
      </c>
      <c r="F36" s="53" t="s">
        <v>114</v>
      </c>
      <c r="G36" s="53" t="s">
        <v>49</v>
      </c>
      <c r="H36" s="53" t="s">
        <v>105</v>
      </c>
      <c r="I36" s="53" t="s">
        <v>104</v>
      </c>
      <c r="J36" s="61">
        <v>4</v>
      </c>
      <c r="K36" s="48">
        <v>0</v>
      </c>
      <c r="L36" s="46">
        <v>5328628.04</v>
      </c>
      <c r="M36" s="46">
        <v>0</v>
      </c>
      <c r="N36" s="20">
        <f t="shared" si="6"/>
        <v>5328628.04</v>
      </c>
      <c r="O36" s="21"/>
      <c r="P36" s="21"/>
      <c r="Q36" s="21"/>
      <c r="R36" s="20">
        <f t="shared" si="7"/>
        <v>5328628.04</v>
      </c>
      <c r="S36" s="50">
        <v>1061408.77</v>
      </c>
      <c r="T36" s="22">
        <f t="shared" si="8"/>
        <v>0.1991898781510747</v>
      </c>
      <c r="U36" s="52">
        <v>152500</v>
      </c>
      <c r="V36" s="22">
        <f t="shared" si="9"/>
        <v>2.8618998897134505E-2</v>
      </c>
      <c r="W36" s="46">
        <v>152500</v>
      </c>
      <c r="X36" s="22">
        <f t="shared" si="10"/>
        <v>2.8618998897134505E-2</v>
      </c>
      <c r="Y36" s="5"/>
      <c r="Z36" s="5"/>
      <c r="AA36" s="5"/>
    </row>
    <row r="37" spans="1:27" ht="54" customHeight="1">
      <c r="A37" s="58" t="s">
        <v>74</v>
      </c>
      <c r="B37" s="25" t="s">
        <v>75</v>
      </c>
      <c r="C37" s="53" t="s">
        <v>47</v>
      </c>
      <c r="D37" s="53" t="s">
        <v>78</v>
      </c>
      <c r="E37" s="25" t="s">
        <v>76</v>
      </c>
      <c r="F37" s="53" t="s">
        <v>115</v>
      </c>
      <c r="G37" s="53" t="s">
        <v>49</v>
      </c>
      <c r="H37" s="53" t="s">
        <v>95</v>
      </c>
      <c r="I37" s="53" t="s">
        <v>104</v>
      </c>
      <c r="J37" s="61">
        <v>4</v>
      </c>
      <c r="K37" s="48">
        <v>100000</v>
      </c>
      <c r="L37" s="46">
        <v>0</v>
      </c>
      <c r="M37" s="46">
        <v>0</v>
      </c>
      <c r="N37" s="20">
        <f t="shared" si="6"/>
        <v>100000</v>
      </c>
      <c r="O37" s="21"/>
      <c r="P37" s="21"/>
      <c r="Q37" s="21"/>
      <c r="R37" s="20">
        <f t="shared" si="7"/>
        <v>100000</v>
      </c>
      <c r="S37" s="50">
        <v>68940</v>
      </c>
      <c r="T37" s="22">
        <f t="shared" si="8"/>
        <v>0.68940000000000001</v>
      </c>
      <c r="U37" s="52">
        <v>68940</v>
      </c>
      <c r="V37" s="22">
        <f t="shared" si="9"/>
        <v>0.68940000000000001</v>
      </c>
      <c r="W37" s="46">
        <v>68940</v>
      </c>
      <c r="X37" s="22">
        <f t="shared" si="10"/>
        <v>0.68940000000000001</v>
      </c>
      <c r="Y37" s="5"/>
      <c r="Z37" s="5"/>
      <c r="AA37" s="5"/>
    </row>
    <row r="38" spans="1:27" ht="54" customHeight="1">
      <c r="A38" s="18" t="s">
        <v>74</v>
      </c>
      <c r="B38" s="25" t="s">
        <v>75</v>
      </c>
      <c r="C38" s="25" t="s">
        <v>47</v>
      </c>
      <c r="D38" s="25" t="s">
        <v>48</v>
      </c>
      <c r="E38" s="25" t="s">
        <v>76</v>
      </c>
      <c r="F38" s="53" t="s">
        <v>116</v>
      </c>
      <c r="G38" s="25" t="s">
        <v>49</v>
      </c>
      <c r="H38" s="53" t="s">
        <v>95</v>
      </c>
      <c r="I38" s="53" t="s">
        <v>104</v>
      </c>
      <c r="J38" s="59">
        <v>3</v>
      </c>
      <c r="K38" s="26">
        <f>61151090-K39</f>
        <v>60651090</v>
      </c>
      <c r="L38" s="46">
        <v>3836812.78</v>
      </c>
      <c r="M38" s="46">
        <v>3185612.78</v>
      </c>
      <c r="N38" s="20">
        <f t="shared" si="6"/>
        <v>61302290</v>
      </c>
      <c r="O38" s="20"/>
      <c r="P38" s="20"/>
      <c r="Q38" s="20"/>
      <c r="R38" s="20">
        <f t="shared" si="7"/>
        <v>61302290</v>
      </c>
      <c r="S38" s="26">
        <f>56587269.36-S39</f>
        <v>56089091.969999999</v>
      </c>
      <c r="T38" s="22">
        <f t="shared" si="8"/>
        <v>0.91495916335262517</v>
      </c>
      <c r="U38" s="51">
        <f>42939024.41-U39</f>
        <v>42524506.93</v>
      </c>
      <c r="V38" s="22">
        <f t="shared" si="9"/>
        <v>0.69368545498055623</v>
      </c>
      <c r="W38" s="46">
        <f>42698977.63-W39</f>
        <v>42284460.150000006</v>
      </c>
      <c r="X38" s="22">
        <f t="shared" si="10"/>
        <v>0.68976966684278851</v>
      </c>
      <c r="Y38" s="5"/>
      <c r="Z38" s="5"/>
      <c r="AA38" s="5"/>
    </row>
    <row r="39" spans="1:27" ht="54" customHeight="1">
      <c r="A39" s="18" t="s">
        <v>74</v>
      </c>
      <c r="B39" s="25" t="s">
        <v>75</v>
      </c>
      <c r="C39" s="25" t="s">
        <v>47</v>
      </c>
      <c r="D39" s="25" t="s">
        <v>48</v>
      </c>
      <c r="E39" s="25" t="s">
        <v>76</v>
      </c>
      <c r="F39" s="53" t="s">
        <v>116</v>
      </c>
      <c r="G39" s="25" t="s">
        <v>49</v>
      </c>
      <c r="H39" s="53" t="s">
        <v>95</v>
      </c>
      <c r="I39" s="53" t="s">
        <v>104</v>
      </c>
      <c r="J39" s="34">
        <v>4</v>
      </c>
      <c r="K39" s="48">
        <v>500000</v>
      </c>
      <c r="L39" s="46">
        <v>0</v>
      </c>
      <c r="M39" s="46">
        <v>0</v>
      </c>
      <c r="N39" s="20">
        <f t="shared" si="6"/>
        <v>500000</v>
      </c>
      <c r="O39" s="20"/>
      <c r="P39" s="20"/>
      <c r="Q39" s="20"/>
      <c r="R39" s="20">
        <f t="shared" si="7"/>
        <v>500000</v>
      </c>
      <c r="S39" s="46">
        <f>104715.9+28304.26+230634+134523.23</f>
        <v>498177.39</v>
      </c>
      <c r="T39" s="22">
        <f t="shared" si="8"/>
        <v>0.99635478</v>
      </c>
      <c r="U39" s="52">
        <f>104715.9+28304.26+230634+50863.32</f>
        <v>414517.48000000004</v>
      </c>
      <c r="V39" s="22">
        <f t="shared" si="9"/>
        <v>0.8290349600000001</v>
      </c>
      <c r="W39" s="46">
        <f>104715.9+28304.26+230634+50863.32</f>
        <v>414517.48000000004</v>
      </c>
      <c r="X39" s="22">
        <f t="shared" si="10"/>
        <v>0.8290349600000001</v>
      </c>
      <c r="Y39" s="5"/>
      <c r="Z39" s="5"/>
      <c r="AA39" s="5"/>
    </row>
    <row r="40" spans="1:27" ht="54" customHeight="1">
      <c r="A40" s="58" t="s">
        <v>74</v>
      </c>
      <c r="B40" s="25" t="s">
        <v>75</v>
      </c>
      <c r="C40" s="53" t="s">
        <v>47</v>
      </c>
      <c r="D40" s="53" t="s">
        <v>48</v>
      </c>
      <c r="E40" s="25" t="s">
        <v>76</v>
      </c>
      <c r="F40" s="53" t="s">
        <v>116</v>
      </c>
      <c r="G40" s="53" t="s">
        <v>49</v>
      </c>
      <c r="H40" s="53" t="s">
        <v>105</v>
      </c>
      <c r="I40" s="53" t="s">
        <v>104</v>
      </c>
      <c r="J40" s="63">
        <v>3</v>
      </c>
      <c r="K40" s="48">
        <v>0</v>
      </c>
      <c r="L40" s="49">
        <f>22157717.18-L41</f>
        <v>18194086.18</v>
      </c>
      <c r="M40" s="49">
        <f>260000</f>
        <v>260000</v>
      </c>
      <c r="N40" s="20">
        <f t="shared" si="6"/>
        <v>17934086.18</v>
      </c>
      <c r="O40" s="27"/>
      <c r="P40" s="27"/>
      <c r="Q40" s="27"/>
      <c r="R40" s="20">
        <f t="shared" si="7"/>
        <v>17934086.18</v>
      </c>
      <c r="S40" s="49">
        <f>14514619.55-S41</f>
        <v>13355377.32</v>
      </c>
      <c r="T40" s="22">
        <f t="shared" si="8"/>
        <v>0.74469237997160109</v>
      </c>
      <c r="U40" s="51">
        <f>2959464.74-U41</f>
        <v>2179899.5</v>
      </c>
      <c r="V40" s="22">
        <f t="shared" si="9"/>
        <v>0.12155063146908554</v>
      </c>
      <c r="W40" s="49">
        <f>2890204.95-W41</f>
        <v>2110639.71</v>
      </c>
      <c r="X40" s="22">
        <f t="shared" si="10"/>
        <v>0.11768872351878037</v>
      </c>
      <c r="Y40" s="5"/>
      <c r="Z40" s="5"/>
      <c r="AA40" s="5"/>
    </row>
    <row r="41" spans="1:27" ht="54" customHeight="1">
      <c r="A41" s="58" t="s">
        <v>74</v>
      </c>
      <c r="B41" s="25" t="s">
        <v>75</v>
      </c>
      <c r="C41" s="53" t="s">
        <v>47</v>
      </c>
      <c r="D41" s="53" t="s">
        <v>48</v>
      </c>
      <c r="E41" s="25" t="s">
        <v>76</v>
      </c>
      <c r="F41" s="53" t="s">
        <v>116</v>
      </c>
      <c r="G41" s="53" t="s">
        <v>49</v>
      </c>
      <c r="H41" s="53" t="s">
        <v>105</v>
      </c>
      <c r="I41" s="53" t="s">
        <v>104</v>
      </c>
      <c r="J41" s="61">
        <v>4</v>
      </c>
      <c r="K41" s="48">
        <v>0</v>
      </c>
      <c r="L41" s="49">
        <f>3963631</f>
        <v>3963631</v>
      </c>
      <c r="M41" s="49">
        <v>0</v>
      </c>
      <c r="N41" s="20">
        <f t="shared" si="6"/>
        <v>3963631</v>
      </c>
      <c r="O41" s="27"/>
      <c r="P41" s="27"/>
      <c r="Q41" s="27"/>
      <c r="R41" s="20">
        <f t="shared" si="7"/>
        <v>3963631</v>
      </c>
      <c r="S41" s="49">
        <f>490685.24+95986.75+1470.24+120510+450590</f>
        <v>1159242.23</v>
      </c>
      <c r="T41" s="22">
        <f t="shared" si="8"/>
        <v>0.29246976572743527</v>
      </c>
      <c r="U41" s="52">
        <f>490685.24+288880</f>
        <v>779565.24</v>
      </c>
      <c r="V41" s="22">
        <f t="shared" si="9"/>
        <v>0.19667956981868392</v>
      </c>
      <c r="W41" s="49">
        <f>490685.24+288880</f>
        <v>779565.24</v>
      </c>
      <c r="X41" s="22">
        <f t="shared" si="10"/>
        <v>0.19667956981868392</v>
      </c>
      <c r="Y41" s="5"/>
      <c r="Z41" s="5"/>
      <c r="AA41" s="5"/>
    </row>
    <row r="42" spans="1:27" ht="54" customHeight="1">
      <c r="A42" s="18" t="s">
        <v>74</v>
      </c>
      <c r="B42" s="25" t="s">
        <v>75</v>
      </c>
      <c r="C42" s="25" t="s">
        <v>47</v>
      </c>
      <c r="D42" s="25" t="s">
        <v>50</v>
      </c>
      <c r="E42" s="25" t="s">
        <v>76</v>
      </c>
      <c r="F42" s="25" t="s">
        <v>79</v>
      </c>
      <c r="G42" s="25" t="s">
        <v>49</v>
      </c>
      <c r="H42" s="53" t="s">
        <v>95</v>
      </c>
      <c r="I42" s="53" t="s">
        <v>104</v>
      </c>
      <c r="J42" s="59">
        <v>3</v>
      </c>
      <c r="K42" s="48">
        <v>100000</v>
      </c>
      <c r="L42" s="49">
        <v>0</v>
      </c>
      <c r="M42" s="49">
        <v>100000</v>
      </c>
      <c r="N42" s="27">
        <f t="shared" si="6"/>
        <v>0</v>
      </c>
      <c r="O42" s="27"/>
      <c r="P42" s="27"/>
      <c r="Q42" s="27"/>
      <c r="R42" s="27">
        <f t="shared" si="7"/>
        <v>0</v>
      </c>
      <c r="S42" s="49">
        <v>0</v>
      </c>
      <c r="T42" s="28">
        <f t="shared" si="8"/>
        <v>0</v>
      </c>
      <c r="U42" s="51">
        <v>0</v>
      </c>
      <c r="V42" s="28">
        <f t="shared" si="9"/>
        <v>0</v>
      </c>
      <c r="W42" s="49">
        <v>0</v>
      </c>
      <c r="X42" s="28">
        <f t="shared" si="10"/>
        <v>0</v>
      </c>
      <c r="Y42" s="5"/>
      <c r="Z42" s="5"/>
      <c r="AA42" s="5"/>
    </row>
    <row r="43" spans="1:27" ht="52.5" customHeight="1">
      <c r="A43" s="58" t="s">
        <v>74</v>
      </c>
      <c r="B43" s="25" t="s">
        <v>75</v>
      </c>
      <c r="C43" s="53" t="s">
        <v>47</v>
      </c>
      <c r="D43" s="53" t="s">
        <v>50</v>
      </c>
      <c r="E43" s="25" t="s">
        <v>76</v>
      </c>
      <c r="F43" s="25" t="s">
        <v>79</v>
      </c>
      <c r="G43" s="53" t="s">
        <v>49</v>
      </c>
      <c r="H43" s="53" t="s">
        <v>105</v>
      </c>
      <c r="I43" s="53" t="s">
        <v>104</v>
      </c>
      <c r="J43" s="59">
        <v>3</v>
      </c>
      <c r="K43" s="48">
        <v>0</v>
      </c>
      <c r="L43" s="49">
        <v>10787293</v>
      </c>
      <c r="M43" s="49">
        <v>0</v>
      </c>
      <c r="N43" s="27">
        <f t="shared" si="6"/>
        <v>10787293</v>
      </c>
      <c r="O43" s="27"/>
      <c r="P43" s="27"/>
      <c r="Q43" s="27"/>
      <c r="R43" s="27">
        <f t="shared" si="7"/>
        <v>10787293</v>
      </c>
      <c r="S43" s="50">
        <v>8744228.6799999997</v>
      </c>
      <c r="T43" s="28">
        <f t="shared" si="8"/>
        <v>0.81060453998978244</v>
      </c>
      <c r="U43" s="51">
        <v>8744228.6799999997</v>
      </c>
      <c r="V43" s="28">
        <f t="shared" si="9"/>
        <v>0.81060453998978244</v>
      </c>
      <c r="W43" s="49">
        <v>8744228.6799999997</v>
      </c>
      <c r="X43" s="28">
        <f t="shared" si="10"/>
        <v>0.81060453998978244</v>
      </c>
      <c r="Y43" s="5"/>
      <c r="Z43" s="5"/>
      <c r="AA43" s="5"/>
    </row>
    <row r="44" spans="1:27" ht="63">
      <c r="A44" s="18" t="s">
        <v>74</v>
      </c>
      <c r="B44" s="25" t="s">
        <v>75</v>
      </c>
      <c r="C44" s="25" t="s">
        <v>47</v>
      </c>
      <c r="D44" s="25" t="s">
        <v>80</v>
      </c>
      <c r="E44" s="25" t="s">
        <v>56</v>
      </c>
      <c r="F44" s="53" t="s">
        <v>117</v>
      </c>
      <c r="G44" s="25" t="s">
        <v>49</v>
      </c>
      <c r="H44" s="53" t="s">
        <v>95</v>
      </c>
      <c r="I44" s="53" t="s">
        <v>104</v>
      </c>
      <c r="J44" s="34">
        <v>4</v>
      </c>
      <c r="K44" s="48">
        <v>17334789</v>
      </c>
      <c r="L44" s="49">
        <v>0</v>
      </c>
      <c r="M44" s="49">
        <v>17334789</v>
      </c>
      <c r="N44" s="27">
        <f t="shared" si="6"/>
        <v>0</v>
      </c>
      <c r="O44" s="27"/>
      <c r="P44" s="27"/>
      <c r="Q44" s="27"/>
      <c r="R44" s="27">
        <f t="shared" si="7"/>
        <v>0</v>
      </c>
      <c r="S44" s="50">
        <v>0</v>
      </c>
      <c r="T44" s="28">
        <f t="shared" si="8"/>
        <v>0</v>
      </c>
      <c r="U44" s="52">
        <v>0</v>
      </c>
      <c r="V44" s="28">
        <f t="shared" si="9"/>
        <v>0</v>
      </c>
      <c r="W44" s="49">
        <v>0</v>
      </c>
      <c r="X44" s="28">
        <f t="shared" si="10"/>
        <v>0</v>
      </c>
      <c r="Y44" s="5"/>
      <c r="Z44" s="5"/>
      <c r="AA44" s="5"/>
    </row>
    <row r="45" spans="1:27" ht="63">
      <c r="A45" s="58" t="s">
        <v>74</v>
      </c>
      <c r="B45" s="25" t="s">
        <v>75</v>
      </c>
      <c r="C45" s="53" t="s">
        <v>47</v>
      </c>
      <c r="D45" s="53" t="s">
        <v>98</v>
      </c>
      <c r="E45" s="25" t="s">
        <v>56</v>
      </c>
      <c r="F45" s="53" t="s">
        <v>117</v>
      </c>
      <c r="G45" s="53" t="s">
        <v>49</v>
      </c>
      <c r="H45" s="53" t="s">
        <v>95</v>
      </c>
      <c r="I45" s="53" t="s">
        <v>104</v>
      </c>
      <c r="J45" s="61">
        <v>4</v>
      </c>
      <c r="K45" s="48">
        <v>0</v>
      </c>
      <c r="L45" s="49">
        <v>18427046.23</v>
      </c>
      <c r="M45" s="49">
        <v>0</v>
      </c>
      <c r="N45" s="27">
        <f t="shared" si="6"/>
        <v>18427046.23</v>
      </c>
      <c r="O45" s="27"/>
      <c r="P45" s="27"/>
      <c r="Q45" s="27"/>
      <c r="R45" s="27">
        <f t="shared" si="7"/>
        <v>18427046.23</v>
      </c>
      <c r="S45" s="50">
        <v>18427046.23</v>
      </c>
      <c r="T45" s="28">
        <f t="shared" si="8"/>
        <v>1</v>
      </c>
      <c r="U45" s="52">
        <v>7355611.3799999999</v>
      </c>
      <c r="V45" s="28">
        <f t="shared" si="9"/>
        <v>0.39917473957517713</v>
      </c>
      <c r="W45" s="49">
        <v>7355611.3799999999</v>
      </c>
      <c r="X45" s="28">
        <f t="shared" si="10"/>
        <v>0.39917473957517713</v>
      </c>
      <c r="Y45" s="5"/>
      <c r="Z45" s="5"/>
      <c r="AA45" s="5"/>
    </row>
    <row r="46" spans="1:27" ht="65.25" customHeight="1">
      <c r="A46" s="58" t="s">
        <v>74</v>
      </c>
      <c r="B46" s="25" t="s">
        <v>75</v>
      </c>
      <c r="C46" s="53" t="s">
        <v>47</v>
      </c>
      <c r="D46" s="53" t="s">
        <v>98</v>
      </c>
      <c r="E46" s="25" t="s">
        <v>56</v>
      </c>
      <c r="F46" s="53" t="s">
        <v>117</v>
      </c>
      <c r="G46" s="53" t="s">
        <v>49</v>
      </c>
      <c r="H46" s="53" t="s">
        <v>105</v>
      </c>
      <c r="I46" s="53" t="s">
        <v>104</v>
      </c>
      <c r="J46" s="66">
        <v>3</v>
      </c>
      <c r="K46" s="48">
        <v>0</v>
      </c>
      <c r="L46" s="49">
        <v>39223.199999999997</v>
      </c>
      <c r="M46" s="49">
        <v>0</v>
      </c>
      <c r="N46" s="27">
        <f t="shared" si="6"/>
        <v>39223.199999999997</v>
      </c>
      <c r="O46" s="27"/>
      <c r="P46" s="27"/>
      <c r="Q46" s="27"/>
      <c r="R46" s="27">
        <f t="shared" si="7"/>
        <v>39223.199999999997</v>
      </c>
      <c r="S46" s="50">
        <v>39223.199999999997</v>
      </c>
      <c r="T46" s="28">
        <f t="shared" si="8"/>
        <v>1</v>
      </c>
      <c r="U46" s="69">
        <v>39223.199999999997</v>
      </c>
      <c r="V46" s="28">
        <f t="shared" si="9"/>
        <v>1</v>
      </c>
      <c r="W46" s="49">
        <v>39223.199999999997</v>
      </c>
      <c r="X46" s="28">
        <f t="shared" si="10"/>
        <v>1</v>
      </c>
      <c r="Y46" s="5"/>
      <c r="Z46" s="5"/>
      <c r="AA46" s="5"/>
    </row>
    <row r="47" spans="1:27" ht="65.25" customHeight="1">
      <c r="A47" s="58" t="s">
        <v>74</v>
      </c>
      <c r="B47" s="25" t="s">
        <v>75</v>
      </c>
      <c r="C47" s="53" t="s">
        <v>47</v>
      </c>
      <c r="D47" s="53" t="s">
        <v>98</v>
      </c>
      <c r="E47" s="25" t="s">
        <v>56</v>
      </c>
      <c r="F47" s="53" t="s">
        <v>117</v>
      </c>
      <c r="G47" s="53" t="s">
        <v>49</v>
      </c>
      <c r="H47" s="53" t="s">
        <v>105</v>
      </c>
      <c r="I47" s="53" t="s">
        <v>104</v>
      </c>
      <c r="J47" s="61">
        <v>4</v>
      </c>
      <c r="K47" s="48">
        <v>0</v>
      </c>
      <c r="L47" s="49">
        <v>3134266.5</v>
      </c>
      <c r="M47" s="49">
        <v>0</v>
      </c>
      <c r="N47" s="27">
        <f t="shared" si="6"/>
        <v>3134266.5</v>
      </c>
      <c r="O47" s="27"/>
      <c r="P47" s="27"/>
      <c r="Q47" s="27"/>
      <c r="R47" s="27">
        <f t="shared" si="7"/>
        <v>3134266.5</v>
      </c>
      <c r="S47" s="50">
        <v>387314.98</v>
      </c>
      <c r="T47" s="28">
        <f t="shared" si="8"/>
        <v>0.12357436101875829</v>
      </c>
      <c r="U47" s="52">
        <v>0</v>
      </c>
      <c r="V47" s="28">
        <f t="shared" si="9"/>
        <v>0</v>
      </c>
      <c r="W47" s="49">
        <v>0</v>
      </c>
      <c r="X47" s="28">
        <f t="shared" si="10"/>
        <v>0</v>
      </c>
      <c r="Y47" s="5"/>
      <c r="Z47" s="5"/>
      <c r="AA47" s="5"/>
    </row>
    <row r="48" spans="1:27" ht="63">
      <c r="A48" s="18" t="s">
        <v>74</v>
      </c>
      <c r="B48" s="25" t="s">
        <v>75</v>
      </c>
      <c r="C48" s="25" t="s">
        <v>47</v>
      </c>
      <c r="D48" s="53" t="s">
        <v>81</v>
      </c>
      <c r="E48" s="25" t="s">
        <v>56</v>
      </c>
      <c r="F48" s="53" t="s">
        <v>118</v>
      </c>
      <c r="G48" s="25" t="s">
        <v>49</v>
      </c>
      <c r="H48" s="53" t="s">
        <v>95</v>
      </c>
      <c r="I48" s="53" t="s">
        <v>104</v>
      </c>
      <c r="J48" s="61">
        <v>4</v>
      </c>
      <c r="K48" s="48">
        <v>50000</v>
      </c>
      <c r="L48" s="49">
        <v>0</v>
      </c>
      <c r="M48" s="49">
        <v>0</v>
      </c>
      <c r="N48" s="27">
        <f t="shared" si="6"/>
        <v>50000</v>
      </c>
      <c r="O48" s="27"/>
      <c r="P48" s="27"/>
      <c r="Q48" s="27"/>
      <c r="R48" s="27">
        <f t="shared" si="7"/>
        <v>50000</v>
      </c>
      <c r="S48" s="50">
        <v>0</v>
      </c>
      <c r="T48" s="28">
        <f t="shared" si="8"/>
        <v>0</v>
      </c>
      <c r="U48" s="52">
        <v>0</v>
      </c>
      <c r="V48" s="28">
        <f t="shared" si="9"/>
        <v>0</v>
      </c>
      <c r="W48" s="49">
        <v>0</v>
      </c>
      <c r="X48" s="28">
        <f t="shared" si="10"/>
        <v>0</v>
      </c>
      <c r="Y48" s="5"/>
      <c r="Z48" s="5"/>
      <c r="AA48" s="5"/>
    </row>
    <row r="49" spans="1:27" ht="63">
      <c r="A49" s="18" t="s">
        <v>74</v>
      </c>
      <c r="B49" s="25" t="s">
        <v>75</v>
      </c>
      <c r="C49" s="25" t="s">
        <v>47</v>
      </c>
      <c r="D49" s="53" t="s">
        <v>81</v>
      </c>
      <c r="E49" s="25" t="s">
        <v>56</v>
      </c>
      <c r="F49" s="53" t="s">
        <v>118</v>
      </c>
      <c r="G49" s="25" t="s">
        <v>49</v>
      </c>
      <c r="H49" s="53" t="s">
        <v>105</v>
      </c>
      <c r="I49" s="53" t="s">
        <v>104</v>
      </c>
      <c r="J49" s="59">
        <v>3</v>
      </c>
      <c r="K49" s="48">
        <v>0</v>
      </c>
      <c r="L49" s="49">
        <v>70934</v>
      </c>
      <c r="M49" s="49">
        <v>0</v>
      </c>
      <c r="N49" s="27">
        <f t="shared" si="6"/>
        <v>70934</v>
      </c>
      <c r="O49" s="27"/>
      <c r="P49" s="27"/>
      <c r="Q49" s="27"/>
      <c r="R49" s="27">
        <f t="shared" si="7"/>
        <v>70934</v>
      </c>
      <c r="S49" s="50">
        <v>0</v>
      </c>
      <c r="T49" s="28">
        <f t="shared" si="8"/>
        <v>0</v>
      </c>
      <c r="U49" s="69">
        <v>0</v>
      </c>
      <c r="V49" s="28">
        <f t="shared" si="9"/>
        <v>0</v>
      </c>
      <c r="W49" s="49">
        <v>0</v>
      </c>
      <c r="X49" s="28">
        <f t="shared" si="10"/>
        <v>0</v>
      </c>
      <c r="Y49" s="5"/>
      <c r="Z49" s="5"/>
      <c r="AA49" s="5"/>
    </row>
    <row r="50" spans="1:27" ht="63">
      <c r="A50" s="18" t="s">
        <v>74</v>
      </c>
      <c r="B50" s="25" t="s">
        <v>75</v>
      </c>
      <c r="C50" s="25" t="s">
        <v>47</v>
      </c>
      <c r="D50" s="53" t="s">
        <v>119</v>
      </c>
      <c r="E50" s="25" t="s">
        <v>56</v>
      </c>
      <c r="F50" s="53" t="s">
        <v>120</v>
      </c>
      <c r="G50" s="25" t="s">
        <v>49</v>
      </c>
      <c r="H50" s="53" t="s">
        <v>95</v>
      </c>
      <c r="I50" s="53" t="s">
        <v>104</v>
      </c>
      <c r="J50" s="59">
        <v>3</v>
      </c>
      <c r="K50" s="48">
        <v>750000</v>
      </c>
      <c r="L50" s="49">
        <v>329800</v>
      </c>
      <c r="M50" s="49">
        <v>0</v>
      </c>
      <c r="N50" s="27">
        <f t="shared" si="6"/>
        <v>1079800</v>
      </c>
      <c r="O50" s="27"/>
      <c r="P50" s="27"/>
      <c r="Q50" s="27"/>
      <c r="R50" s="27">
        <f t="shared" si="7"/>
        <v>1079800</v>
      </c>
      <c r="S50" s="50">
        <v>825300</v>
      </c>
      <c r="T50" s="28">
        <f t="shared" si="8"/>
        <v>0.76430820522318943</v>
      </c>
      <c r="U50" s="69">
        <v>0</v>
      </c>
      <c r="V50" s="28">
        <f t="shared" si="9"/>
        <v>0</v>
      </c>
      <c r="W50" s="49">
        <v>0</v>
      </c>
      <c r="X50" s="28">
        <f t="shared" si="10"/>
        <v>0</v>
      </c>
      <c r="Y50" s="5"/>
      <c r="Z50" s="5"/>
      <c r="AA50" s="5"/>
    </row>
    <row r="51" spans="1:27" ht="63">
      <c r="A51" s="18" t="s">
        <v>74</v>
      </c>
      <c r="B51" s="25" t="s">
        <v>75</v>
      </c>
      <c r="C51" s="25" t="s">
        <v>47</v>
      </c>
      <c r="D51" s="25" t="s">
        <v>55</v>
      </c>
      <c r="E51" s="25" t="s">
        <v>56</v>
      </c>
      <c r="F51" s="25" t="s">
        <v>57</v>
      </c>
      <c r="G51" s="25" t="s">
        <v>49</v>
      </c>
      <c r="H51" s="53" t="s">
        <v>95</v>
      </c>
      <c r="I51" s="53" t="s">
        <v>104</v>
      </c>
      <c r="J51" s="59">
        <v>3</v>
      </c>
      <c r="K51" s="48">
        <v>50000</v>
      </c>
      <c r="L51" s="46">
        <v>0</v>
      </c>
      <c r="M51" s="46">
        <v>50000</v>
      </c>
      <c r="N51" s="20">
        <f t="shared" si="6"/>
        <v>0</v>
      </c>
      <c r="O51" s="20"/>
      <c r="P51" s="20"/>
      <c r="Q51" s="20"/>
      <c r="R51" s="20">
        <f t="shared" si="7"/>
        <v>0</v>
      </c>
      <c r="S51" s="50">
        <v>0</v>
      </c>
      <c r="T51" s="22">
        <f t="shared" si="8"/>
        <v>0</v>
      </c>
      <c r="U51" s="51">
        <v>0</v>
      </c>
      <c r="V51" s="22">
        <f t="shared" si="9"/>
        <v>0</v>
      </c>
      <c r="W51" s="46">
        <v>0</v>
      </c>
      <c r="X51" s="22">
        <f t="shared" si="10"/>
        <v>0</v>
      </c>
      <c r="Y51" s="5"/>
      <c r="Z51" s="5"/>
      <c r="AA51" s="5"/>
    </row>
    <row r="52" spans="1:27" ht="69.75" customHeight="1">
      <c r="A52" s="58" t="s">
        <v>74</v>
      </c>
      <c r="B52" s="25" t="s">
        <v>75</v>
      </c>
      <c r="C52" s="53" t="s">
        <v>47</v>
      </c>
      <c r="D52" s="53" t="s">
        <v>55</v>
      </c>
      <c r="E52" s="25" t="s">
        <v>56</v>
      </c>
      <c r="F52" s="25" t="s">
        <v>57</v>
      </c>
      <c r="G52" s="53" t="s">
        <v>49</v>
      </c>
      <c r="H52" s="53" t="s">
        <v>105</v>
      </c>
      <c r="I52" s="53" t="s">
        <v>104</v>
      </c>
      <c r="J52" s="63">
        <v>3</v>
      </c>
      <c r="K52" s="48">
        <v>0</v>
      </c>
      <c r="L52" s="46">
        <v>582060</v>
      </c>
      <c r="M52" s="46">
        <v>0</v>
      </c>
      <c r="N52" s="20">
        <f t="shared" si="6"/>
        <v>582060</v>
      </c>
      <c r="O52" s="20"/>
      <c r="P52" s="20"/>
      <c r="Q52" s="20"/>
      <c r="R52" s="20">
        <f t="shared" si="7"/>
        <v>582060</v>
      </c>
      <c r="S52" s="68">
        <v>535433.68999999994</v>
      </c>
      <c r="T52" s="22">
        <f t="shared" si="8"/>
        <v>0.91989432360924983</v>
      </c>
      <c r="U52" s="51">
        <v>535433.68999999994</v>
      </c>
      <c r="V52" s="22">
        <f t="shared" si="9"/>
        <v>0.91989432360924983</v>
      </c>
      <c r="W52" s="46">
        <v>535433.68999999994</v>
      </c>
      <c r="X52" s="22">
        <f t="shared" si="10"/>
        <v>0.91989432360924983</v>
      </c>
      <c r="Y52" s="5"/>
      <c r="Z52" s="5"/>
      <c r="AA52" s="5"/>
    </row>
    <row r="53" spans="1:27" ht="63">
      <c r="A53" s="18" t="s">
        <v>74</v>
      </c>
      <c r="B53" s="25" t="s">
        <v>75</v>
      </c>
      <c r="C53" s="25" t="s">
        <v>47</v>
      </c>
      <c r="D53" s="25" t="s">
        <v>82</v>
      </c>
      <c r="E53" s="25" t="s">
        <v>56</v>
      </c>
      <c r="F53" s="53" t="s">
        <v>112</v>
      </c>
      <c r="G53" s="25" t="s">
        <v>49</v>
      </c>
      <c r="H53" s="53" t="s">
        <v>95</v>
      </c>
      <c r="I53" s="53" t="s">
        <v>104</v>
      </c>
      <c r="J53" s="59">
        <v>3</v>
      </c>
      <c r="K53" s="48">
        <f>37007920-K54</f>
        <v>36751090</v>
      </c>
      <c r="L53" s="46">
        <f>7194956.83</f>
        <v>7194956.8300000001</v>
      </c>
      <c r="M53" s="46">
        <v>1435021.83</v>
      </c>
      <c r="N53" s="20">
        <f t="shared" si="6"/>
        <v>42511025</v>
      </c>
      <c r="O53" s="20"/>
      <c r="P53" s="20"/>
      <c r="Q53" s="20"/>
      <c r="R53" s="20">
        <f t="shared" si="7"/>
        <v>42511025</v>
      </c>
      <c r="S53" s="46">
        <f>42297787.88-S54</f>
        <v>42043274.220000006</v>
      </c>
      <c r="T53" s="22">
        <f t="shared" si="8"/>
        <v>0.98899695361379802</v>
      </c>
      <c r="U53" s="51">
        <f>37029914.48-U54</f>
        <v>36775400.82</v>
      </c>
      <c r="V53" s="22">
        <f t="shared" si="9"/>
        <v>0.86507913700034289</v>
      </c>
      <c r="W53" s="46">
        <f>36831988.68-W54</f>
        <v>36577475.020000003</v>
      </c>
      <c r="X53" s="22">
        <f t="shared" si="10"/>
        <v>0.86042326714070061</v>
      </c>
      <c r="Y53" s="5"/>
      <c r="Z53" s="5"/>
      <c r="AA53" s="5"/>
    </row>
    <row r="54" spans="1:27" ht="63">
      <c r="A54" s="18" t="s">
        <v>74</v>
      </c>
      <c r="B54" s="25" t="s">
        <v>75</v>
      </c>
      <c r="C54" s="25" t="s">
        <v>47</v>
      </c>
      <c r="D54" s="25" t="s">
        <v>82</v>
      </c>
      <c r="E54" s="25" t="s">
        <v>56</v>
      </c>
      <c r="F54" s="53" t="s">
        <v>112</v>
      </c>
      <c r="G54" s="25" t="s">
        <v>49</v>
      </c>
      <c r="H54" s="53" t="s">
        <v>95</v>
      </c>
      <c r="I54" s="53" t="s">
        <v>104</v>
      </c>
      <c r="J54" s="34">
        <v>4</v>
      </c>
      <c r="K54" s="48">
        <f>256830</f>
        <v>256830</v>
      </c>
      <c r="L54" s="46">
        <v>0</v>
      </c>
      <c r="M54" s="46">
        <v>0</v>
      </c>
      <c r="N54" s="20">
        <f t="shared" si="6"/>
        <v>256830</v>
      </c>
      <c r="O54" s="20"/>
      <c r="P54" s="20"/>
      <c r="Q54" s="20"/>
      <c r="R54" s="20">
        <f t="shared" si="7"/>
        <v>256830</v>
      </c>
      <c r="S54" s="46">
        <f>1210+7900+7213.12+43395.64+194794.9</f>
        <v>254513.65999999997</v>
      </c>
      <c r="T54" s="22">
        <f t="shared" si="8"/>
        <v>0.99098103804072724</v>
      </c>
      <c r="U54" s="52">
        <f>1210+7900+7213.12+43395.64+194794.9</f>
        <v>254513.65999999997</v>
      </c>
      <c r="V54" s="22">
        <f t="shared" si="9"/>
        <v>0.99098103804072724</v>
      </c>
      <c r="W54" s="46">
        <f>1210+7900+7213.12+43395.64+194794.9</f>
        <v>254513.65999999997</v>
      </c>
      <c r="X54" s="22">
        <f t="shared" si="10"/>
        <v>0.99098103804072724</v>
      </c>
      <c r="Y54" s="5"/>
      <c r="Z54" s="5"/>
      <c r="AA54" s="5"/>
    </row>
    <row r="55" spans="1:27" ht="63" customHeight="1">
      <c r="A55" s="58" t="s">
        <v>74</v>
      </c>
      <c r="B55" s="25" t="s">
        <v>75</v>
      </c>
      <c r="C55" s="45" t="s">
        <v>47</v>
      </c>
      <c r="D55" s="45" t="s">
        <v>82</v>
      </c>
      <c r="E55" s="25" t="s">
        <v>56</v>
      </c>
      <c r="F55" s="53" t="s">
        <v>112</v>
      </c>
      <c r="G55" s="45" t="s">
        <v>49</v>
      </c>
      <c r="H55" s="45" t="s">
        <v>105</v>
      </c>
      <c r="I55" s="53" t="s">
        <v>104</v>
      </c>
      <c r="J55" s="63">
        <v>3</v>
      </c>
      <c r="K55" s="48">
        <v>0</v>
      </c>
      <c r="L55" s="46">
        <f>11177507.08-L56</f>
        <v>11135725.08</v>
      </c>
      <c r="M55" s="46">
        <v>150000</v>
      </c>
      <c r="N55" s="20">
        <f t="shared" si="6"/>
        <v>10985725.08</v>
      </c>
      <c r="O55" s="20"/>
      <c r="P55" s="20"/>
      <c r="Q55" s="20"/>
      <c r="R55" s="20">
        <f t="shared" si="7"/>
        <v>10985725.08</v>
      </c>
      <c r="S55" s="49">
        <f>5957786.39-S56</f>
        <v>5919698.3899999997</v>
      </c>
      <c r="T55" s="22">
        <f t="shared" si="8"/>
        <v>0.53885368028889358</v>
      </c>
      <c r="U55" s="51">
        <f>3169397.64-U56</f>
        <v>3148928.64</v>
      </c>
      <c r="V55" s="22">
        <f t="shared" si="9"/>
        <v>0.28663821614585683</v>
      </c>
      <c r="W55" s="46">
        <f>3166018.51-W56</f>
        <v>3145549.51</v>
      </c>
      <c r="X55" s="22">
        <f t="shared" si="10"/>
        <v>0.28633062334015735</v>
      </c>
      <c r="Y55" s="5"/>
      <c r="Z55" s="5"/>
      <c r="AA55" s="5"/>
    </row>
    <row r="56" spans="1:27" ht="63" customHeight="1">
      <c r="A56" s="58" t="s">
        <v>74</v>
      </c>
      <c r="B56" s="25" t="s">
        <v>75</v>
      </c>
      <c r="C56" s="45" t="s">
        <v>47</v>
      </c>
      <c r="D56" s="45" t="s">
        <v>82</v>
      </c>
      <c r="E56" s="25" t="s">
        <v>56</v>
      </c>
      <c r="F56" s="53" t="s">
        <v>112</v>
      </c>
      <c r="G56" s="45" t="s">
        <v>49</v>
      </c>
      <c r="H56" s="45" t="s">
        <v>105</v>
      </c>
      <c r="I56" s="53" t="s">
        <v>104</v>
      </c>
      <c r="J56" s="34">
        <v>4</v>
      </c>
      <c r="K56" s="48">
        <v>0</v>
      </c>
      <c r="L56" s="46">
        <v>41782</v>
      </c>
      <c r="M56" s="46">
        <v>0</v>
      </c>
      <c r="N56" s="20">
        <f t="shared" si="6"/>
        <v>41782</v>
      </c>
      <c r="O56" s="20"/>
      <c r="P56" s="20"/>
      <c r="Q56" s="20"/>
      <c r="R56" s="20">
        <f t="shared" si="7"/>
        <v>41782</v>
      </c>
      <c r="S56" s="49">
        <f>28045+10043</f>
        <v>38088</v>
      </c>
      <c r="T56" s="22">
        <f t="shared" si="8"/>
        <v>0.91158872241635158</v>
      </c>
      <c r="U56" s="52">
        <f>19845+624</f>
        <v>20469</v>
      </c>
      <c r="V56" s="22">
        <f t="shared" si="9"/>
        <v>0.48989995691924754</v>
      </c>
      <c r="W56" s="46">
        <f>19845+624</f>
        <v>20469</v>
      </c>
      <c r="X56" s="22">
        <f t="shared" si="10"/>
        <v>0.48989995691924754</v>
      </c>
      <c r="Y56" s="5"/>
      <c r="Z56" s="5"/>
      <c r="AA56" s="5"/>
    </row>
    <row r="57" spans="1:27" ht="63" customHeight="1">
      <c r="A57" s="58" t="s">
        <v>74</v>
      </c>
      <c r="B57" s="25" t="s">
        <v>75</v>
      </c>
      <c r="C57" s="45" t="s">
        <v>47</v>
      </c>
      <c r="D57" s="45" t="s">
        <v>82</v>
      </c>
      <c r="E57" s="25" t="s">
        <v>56</v>
      </c>
      <c r="F57" s="53" t="s">
        <v>112</v>
      </c>
      <c r="G57" s="45" t="s">
        <v>49</v>
      </c>
      <c r="H57" s="45" t="s">
        <v>107</v>
      </c>
      <c r="I57" s="53" t="s">
        <v>104</v>
      </c>
      <c r="J57" s="63">
        <v>3</v>
      </c>
      <c r="K57" s="48">
        <v>0</v>
      </c>
      <c r="L57" s="46">
        <v>161</v>
      </c>
      <c r="M57" s="46">
        <v>0</v>
      </c>
      <c r="N57" s="20">
        <f t="shared" si="6"/>
        <v>161</v>
      </c>
      <c r="O57" s="20"/>
      <c r="P57" s="20"/>
      <c r="Q57" s="20"/>
      <c r="R57" s="20">
        <f t="shared" si="7"/>
        <v>161</v>
      </c>
      <c r="S57" s="49">
        <v>0</v>
      </c>
      <c r="T57" s="22">
        <f t="shared" si="8"/>
        <v>0</v>
      </c>
      <c r="U57" s="51">
        <v>0</v>
      </c>
      <c r="V57" s="22">
        <f t="shared" si="9"/>
        <v>0</v>
      </c>
      <c r="W57" s="46">
        <v>0</v>
      </c>
      <c r="X57" s="22">
        <f t="shared" si="10"/>
        <v>0</v>
      </c>
      <c r="Y57" s="5"/>
      <c r="Z57" s="5"/>
      <c r="AA57" s="5"/>
    </row>
    <row r="58" spans="1:27" ht="63" customHeight="1">
      <c r="A58" s="58" t="s">
        <v>74</v>
      </c>
      <c r="B58" s="45" t="s">
        <v>75</v>
      </c>
      <c r="C58" s="45" t="s">
        <v>47</v>
      </c>
      <c r="D58" s="45" t="s">
        <v>83</v>
      </c>
      <c r="E58" s="25" t="s">
        <v>56</v>
      </c>
      <c r="F58" s="45" t="s">
        <v>121</v>
      </c>
      <c r="G58" s="45" t="s">
        <v>49</v>
      </c>
      <c r="H58" s="45" t="s">
        <v>95</v>
      </c>
      <c r="I58" s="53" t="s">
        <v>104</v>
      </c>
      <c r="J58" s="63">
        <v>3</v>
      </c>
      <c r="K58" s="48">
        <v>960000</v>
      </c>
      <c r="L58" s="46">
        <v>70000</v>
      </c>
      <c r="M58" s="46">
        <v>70000</v>
      </c>
      <c r="N58" s="20">
        <f t="shared" si="6"/>
        <v>960000</v>
      </c>
      <c r="O58" s="20"/>
      <c r="P58" s="20"/>
      <c r="Q58" s="20"/>
      <c r="R58" s="20">
        <f t="shared" si="7"/>
        <v>960000</v>
      </c>
      <c r="S58" s="49">
        <v>880319.54</v>
      </c>
      <c r="T58" s="22">
        <f t="shared" si="8"/>
        <v>0.91699952083333336</v>
      </c>
      <c r="U58" s="51">
        <v>880319.54</v>
      </c>
      <c r="V58" s="22">
        <f t="shared" si="9"/>
        <v>0.91699952083333336</v>
      </c>
      <c r="W58" s="46">
        <v>868196.67</v>
      </c>
      <c r="X58" s="22">
        <f t="shared" si="10"/>
        <v>0.90437153125000003</v>
      </c>
      <c r="Y58" s="5"/>
      <c r="Z58" s="5"/>
      <c r="AA58" s="5"/>
    </row>
    <row r="59" spans="1:27" ht="63" customHeight="1">
      <c r="A59" s="58" t="s">
        <v>74</v>
      </c>
      <c r="B59" s="45" t="s">
        <v>75</v>
      </c>
      <c r="C59" s="45" t="s">
        <v>47</v>
      </c>
      <c r="D59" s="45" t="s">
        <v>83</v>
      </c>
      <c r="E59" s="25" t="s">
        <v>56</v>
      </c>
      <c r="F59" s="45" t="s">
        <v>121</v>
      </c>
      <c r="G59" s="45" t="s">
        <v>49</v>
      </c>
      <c r="H59" s="45" t="s">
        <v>105</v>
      </c>
      <c r="I59" s="53" t="s">
        <v>104</v>
      </c>
      <c r="J59" s="63">
        <v>3</v>
      </c>
      <c r="K59" s="48">
        <v>0</v>
      </c>
      <c r="L59" s="46">
        <v>650000</v>
      </c>
      <c r="M59" s="46">
        <v>0</v>
      </c>
      <c r="N59" s="20">
        <f t="shared" si="6"/>
        <v>650000</v>
      </c>
      <c r="O59" s="20"/>
      <c r="P59" s="20"/>
      <c r="Q59" s="20"/>
      <c r="R59" s="20">
        <f t="shared" si="7"/>
        <v>650000</v>
      </c>
      <c r="S59" s="49">
        <v>262297.46999999997</v>
      </c>
      <c r="T59" s="22">
        <f t="shared" si="8"/>
        <v>0.40353456923076919</v>
      </c>
      <c r="U59" s="51">
        <v>262297.46999999997</v>
      </c>
      <c r="V59" s="22">
        <f t="shared" si="9"/>
        <v>0.40353456923076919</v>
      </c>
      <c r="W59" s="46">
        <v>262297.46999999997</v>
      </c>
      <c r="X59" s="22">
        <f t="shared" si="10"/>
        <v>0.40353456923076919</v>
      </c>
      <c r="Y59" s="5"/>
      <c r="Z59" s="5"/>
      <c r="AA59" s="5"/>
    </row>
    <row r="60" spans="1:27" ht="63" customHeight="1">
      <c r="A60" s="18" t="s">
        <v>74</v>
      </c>
      <c r="B60" s="19" t="s">
        <v>75</v>
      </c>
      <c r="C60" s="19" t="s">
        <v>47</v>
      </c>
      <c r="D60" s="19" t="s">
        <v>61</v>
      </c>
      <c r="E60" s="25" t="s">
        <v>56</v>
      </c>
      <c r="F60" s="19" t="s">
        <v>62</v>
      </c>
      <c r="G60" s="19" t="s">
        <v>49</v>
      </c>
      <c r="H60" s="45" t="s">
        <v>95</v>
      </c>
      <c r="I60" s="53" t="s">
        <v>104</v>
      </c>
      <c r="J60" s="59">
        <v>3</v>
      </c>
      <c r="K60" s="48">
        <v>50000</v>
      </c>
      <c r="L60" s="46">
        <v>0</v>
      </c>
      <c r="M60" s="46">
        <v>50000</v>
      </c>
      <c r="N60" s="20">
        <f t="shared" si="6"/>
        <v>0</v>
      </c>
      <c r="O60" s="20"/>
      <c r="P60" s="20"/>
      <c r="Q60" s="20"/>
      <c r="R60" s="20">
        <f t="shared" si="7"/>
        <v>0</v>
      </c>
      <c r="S60" s="49">
        <v>0</v>
      </c>
      <c r="T60" s="22">
        <f t="shared" si="8"/>
        <v>0</v>
      </c>
      <c r="U60" s="51">
        <v>0</v>
      </c>
      <c r="V60" s="22">
        <f t="shared" si="9"/>
        <v>0</v>
      </c>
      <c r="W60" s="46">
        <v>0</v>
      </c>
      <c r="X60" s="22">
        <f t="shared" si="10"/>
        <v>0</v>
      </c>
      <c r="Y60" s="5"/>
      <c r="Z60" s="5"/>
      <c r="AA60" s="5"/>
    </row>
    <row r="61" spans="1:27" ht="63" customHeight="1">
      <c r="A61" s="58" t="s">
        <v>74</v>
      </c>
      <c r="B61" s="19" t="s">
        <v>75</v>
      </c>
      <c r="C61" s="53" t="s">
        <v>47</v>
      </c>
      <c r="D61" s="53" t="s">
        <v>126</v>
      </c>
      <c r="E61" s="25" t="s">
        <v>56</v>
      </c>
      <c r="F61" s="19" t="s">
        <v>62</v>
      </c>
      <c r="G61" s="53" t="s">
        <v>49</v>
      </c>
      <c r="H61" s="53" t="s">
        <v>105</v>
      </c>
      <c r="I61" s="53" t="s">
        <v>104</v>
      </c>
      <c r="J61" s="63">
        <v>3</v>
      </c>
      <c r="K61" s="48">
        <v>0</v>
      </c>
      <c r="L61" s="49">
        <v>118835</v>
      </c>
      <c r="M61" s="49">
        <v>0</v>
      </c>
      <c r="N61" s="20">
        <f t="shared" si="6"/>
        <v>118835</v>
      </c>
      <c r="O61" s="27"/>
      <c r="P61" s="27"/>
      <c r="Q61" s="27"/>
      <c r="R61" s="20">
        <f t="shared" si="7"/>
        <v>118835</v>
      </c>
      <c r="S61" s="49">
        <v>98981.78</v>
      </c>
      <c r="T61" s="22">
        <f t="shared" si="8"/>
        <v>0.83293457314764163</v>
      </c>
      <c r="U61" s="51">
        <v>98981.78</v>
      </c>
      <c r="V61" s="22">
        <f t="shared" si="9"/>
        <v>0.83293457314764163</v>
      </c>
      <c r="W61" s="49">
        <v>98981.78</v>
      </c>
      <c r="X61" s="22">
        <f t="shared" si="10"/>
        <v>0.83293457314764163</v>
      </c>
      <c r="Y61" s="5"/>
      <c r="Z61" s="5"/>
      <c r="AA61" s="5"/>
    </row>
    <row r="62" spans="1:27" ht="63" customHeight="1">
      <c r="A62" s="18" t="s">
        <v>74</v>
      </c>
      <c r="B62" s="25" t="s">
        <v>75</v>
      </c>
      <c r="C62" s="25" t="s">
        <v>84</v>
      </c>
      <c r="D62" s="25" t="s">
        <v>85</v>
      </c>
      <c r="E62" s="53" t="s">
        <v>76</v>
      </c>
      <c r="F62" s="53" t="s">
        <v>122</v>
      </c>
      <c r="G62" s="25" t="s">
        <v>49</v>
      </c>
      <c r="H62" s="53" t="s">
        <v>95</v>
      </c>
      <c r="I62" s="53" t="s">
        <v>104</v>
      </c>
      <c r="J62" s="59">
        <v>3</v>
      </c>
      <c r="K62" s="48">
        <f>16951090-K63</f>
        <v>15951090</v>
      </c>
      <c r="L62" s="49">
        <v>35109.99</v>
      </c>
      <c r="M62" s="49">
        <v>235109.99</v>
      </c>
      <c r="N62" s="27">
        <f t="shared" si="6"/>
        <v>15751090</v>
      </c>
      <c r="O62" s="27"/>
      <c r="P62" s="27"/>
      <c r="Q62" s="27"/>
      <c r="R62" s="27">
        <f t="shared" si="7"/>
        <v>15751090</v>
      </c>
      <c r="S62" s="49">
        <f>15861334.65-S63</f>
        <v>15840670.77</v>
      </c>
      <c r="T62" s="28">
        <f t="shared" si="8"/>
        <v>1.0056872743410139</v>
      </c>
      <c r="U62" s="51">
        <f>10819740.14-U63</f>
        <v>9973993.1100000013</v>
      </c>
      <c r="V62" s="28">
        <f t="shared" si="9"/>
        <v>0.63322558057886791</v>
      </c>
      <c r="W62" s="49">
        <f>10817907.49-W63</f>
        <v>10797243.609999999</v>
      </c>
      <c r="X62" s="28">
        <f t="shared" si="10"/>
        <v>0.68549183643798617</v>
      </c>
      <c r="Y62" s="5"/>
      <c r="Z62" s="5"/>
      <c r="AA62" s="5"/>
    </row>
    <row r="63" spans="1:27" ht="63" customHeight="1">
      <c r="A63" s="18" t="s">
        <v>74</v>
      </c>
      <c r="B63" s="19" t="s">
        <v>75</v>
      </c>
      <c r="C63" s="19" t="s">
        <v>84</v>
      </c>
      <c r="D63" s="19" t="s">
        <v>85</v>
      </c>
      <c r="E63" s="53" t="s">
        <v>76</v>
      </c>
      <c r="F63" s="53" t="s">
        <v>122</v>
      </c>
      <c r="G63" s="19" t="s">
        <v>49</v>
      </c>
      <c r="H63" s="45" t="s">
        <v>95</v>
      </c>
      <c r="I63" s="53" t="s">
        <v>104</v>
      </c>
      <c r="J63" s="34">
        <v>4</v>
      </c>
      <c r="K63" s="48">
        <v>1000000</v>
      </c>
      <c r="L63" s="46">
        <v>0</v>
      </c>
      <c r="M63" s="49">
        <v>0</v>
      </c>
      <c r="N63" s="20">
        <f t="shared" si="6"/>
        <v>1000000</v>
      </c>
      <c r="O63" s="20"/>
      <c r="P63" s="20"/>
      <c r="Q63" s="20"/>
      <c r="R63" s="20">
        <f t="shared" si="7"/>
        <v>1000000</v>
      </c>
      <c r="S63" s="49">
        <f>20663.88</f>
        <v>20663.88</v>
      </c>
      <c r="T63" s="22">
        <f t="shared" si="8"/>
        <v>2.0663880000000003E-2</v>
      </c>
      <c r="U63" s="52">
        <f>20663.88+825083.15</f>
        <v>845747.03</v>
      </c>
      <c r="V63" s="22">
        <f t="shared" si="9"/>
        <v>0.84574703000000007</v>
      </c>
      <c r="W63" s="46">
        <v>20663.88</v>
      </c>
      <c r="X63" s="22">
        <f t="shared" si="10"/>
        <v>2.0663880000000003E-2</v>
      </c>
      <c r="Y63" s="5"/>
      <c r="Z63" s="5"/>
      <c r="AA63" s="5"/>
    </row>
    <row r="64" spans="1:27" ht="63" customHeight="1">
      <c r="A64" s="18" t="s">
        <v>74</v>
      </c>
      <c r="B64" s="19" t="s">
        <v>75</v>
      </c>
      <c r="C64" s="19" t="s">
        <v>84</v>
      </c>
      <c r="D64" s="19" t="s">
        <v>85</v>
      </c>
      <c r="E64" s="53" t="s">
        <v>76</v>
      </c>
      <c r="F64" s="53" t="s">
        <v>122</v>
      </c>
      <c r="G64" s="19" t="s">
        <v>49</v>
      </c>
      <c r="H64" s="45" t="s">
        <v>105</v>
      </c>
      <c r="I64" s="53" t="s">
        <v>104</v>
      </c>
      <c r="J64" s="59">
        <v>3</v>
      </c>
      <c r="K64" s="48">
        <v>0</v>
      </c>
      <c r="L64" s="46">
        <f>15828695.93-L65</f>
        <v>7770338.9299999997</v>
      </c>
      <c r="M64" s="46">
        <v>0</v>
      </c>
      <c r="N64" s="20">
        <f t="shared" si="6"/>
        <v>7770338.9299999997</v>
      </c>
      <c r="O64" s="20"/>
      <c r="P64" s="20"/>
      <c r="Q64" s="20"/>
      <c r="R64" s="20">
        <f t="shared" si="7"/>
        <v>7770338.9299999997</v>
      </c>
      <c r="S64" s="49">
        <f>5806301.89-S65</f>
        <v>2265221.8899999997</v>
      </c>
      <c r="T64" s="22">
        <f t="shared" si="8"/>
        <v>0.29152163250618973</v>
      </c>
      <c r="U64" s="51">
        <f>414944.23-U65</f>
        <v>165524.22999999998</v>
      </c>
      <c r="V64" s="22">
        <f t="shared" si="9"/>
        <v>2.1302060500982548E-2</v>
      </c>
      <c r="W64" s="46">
        <f>414944.23-W65</f>
        <v>165524.22999999998</v>
      </c>
      <c r="X64" s="22">
        <f t="shared" si="10"/>
        <v>2.1302060500982548E-2</v>
      </c>
      <c r="Y64" s="5"/>
      <c r="Z64" s="5"/>
      <c r="AA64" s="5"/>
    </row>
    <row r="65" spans="1:27" ht="63" customHeight="1">
      <c r="A65" s="58" t="s">
        <v>74</v>
      </c>
      <c r="B65" s="19" t="s">
        <v>75</v>
      </c>
      <c r="C65" s="45" t="s">
        <v>84</v>
      </c>
      <c r="D65" s="45" t="s">
        <v>85</v>
      </c>
      <c r="E65" s="53" t="s">
        <v>76</v>
      </c>
      <c r="F65" s="53" t="s">
        <v>122</v>
      </c>
      <c r="G65" s="45" t="s">
        <v>49</v>
      </c>
      <c r="H65" s="45" t="s">
        <v>105</v>
      </c>
      <c r="I65" s="53" t="s">
        <v>104</v>
      </c>
      <c r="J65" s="34">
        <v>4</v>
      </c>
      <c r="K65" s="48">
        <v>0</v>
      </c>
      <c r="L65" s="46">
        <f>333167+7725190</f>
        <v>8058357</v>
      </c>
      <c r="M65" s="46">
        <v>0</v>
      </c>
      <c r="N65" s="20">
        <f t="shared" si="6"/>
        <v>8058357</v>
      </c>
      <c r="O65" s="20"/>
      <c r="P65" s="20"/>
      <c r="Q65" s="20"/>
      <c r="R65" s="20">
        <f t="shared" si="7"/>
        <v>8058357</v>
      </c>
      <c r="S65" s="49">
        <f>249420+3291660</f>
        <v>3541080</v>
      </c>
      <c r="T65" s="22">
        <f t="shared" si="8"/>
        <v>0.43942952639104971</v>
      </c>
      <c r="U65" s="52">
        <v>249420</v>
      </c>
      <c r="V65" s="22">
        <f t="shared" si="9"/>
        <v>3.0951718818116397E-2</v>
      </c>
      <c r="W65" s="46">
        <v>249420</v>
      </c>
      <c r="X65" s="22">
        <f t="shared" si="10"/>
        <v>3.0951718818116397E-2</v>
      </c>
      <c r="Y65" s="5"/>
      <c r="Z65" s="5"/>
      <c r="AA65" s="5"/>
    </row>
    <row r="66" spans="1:27" ht="63" customHeight="1">
      <c r="A66" s="18" t="s">
        <v>74</v>
      </c>
      <c r="B66" s="19" t="s">
        <v>75</v>
      </c>
      <c r="C66" s="19" t="s">
        <v>84</v>
      </c>
      <c r="D66" s="19" t="s">
        <v>86</v>
      </c>
      <c r="E66" s="25" t="s">
        <v>56</v>
      </c>
      <c r="F66" s="45" t="s">
        <v>123</v>
      </c>
      <c r="G66" s="19" t="s">
        <v>49</v>
      </c>
      <c r="H66" s="45" t="s">
        <v>95</v>
      </c>
      <c r="I66" s="53" t="s">
        <v>104</v>
      </c>
      <c r="J66" s="59">
        <v>3</v>
      </c>
      <c r="K66" s="48">
        <f>9751090-K67</f>
        <v>9651090</v>
      </c>
      <c r="L66" s="46">
        <f>327000-L67</f>
        <v>27000</v>
      </c>
      <c r="M66" s="46">
        <f>127000-M67</f>
        <v>27000</v>
      </c>
      <c r="N66" s="20">
        <f t="shared" si="6"/>
        <v>9651090</v>
      </c>
      <c r="O66" s="20"/>
      <c r="P66" s="20"/>
      <c r="Q66" s="20"/>
      <c r="R66" s="20">
        <f t="shared" si="7"/>
        <v>9651090</v>
      </c>
      <c r="S66" s="49">
        <f>9827871.21-S67</f>
        <v>9527871.2100000009</v>
      </c>
      <c r="T66" s="22">
        <f t="shared" si="8"/>
        <v>0.98723265558605311</v>
      </c>
      <c r="U66" s="51">
        <f>3634354.34-U67</f>
        <v>3499571.76</v>
      </c>
      <c r="V66" s="22">
        <f t="shared" si="9"/>
        <v>0.36260896541219695</v>
      </c>
      <c r="W66" s="46">
        <f>3633763.39-W67</f>
        <v>3498980.81</v>
      </c>
      <c r="X66" s="22">
        <f t="shared" si="10"/>
        <v>0.36254773398652379</v>
      </c>
      <c r="Y66" s="5"/>
      <c r="Z66" s="5"/>
      <c r="AA66" s="5"/>
    </row>
    <row r="67" spans="1:27" ht="63" customHeight="1">
      <c r="A67" s="18" t="s">
        <v>74</v>
      </c>
      <c r="B67" s="19" t="s">
        <v>75</v>
      </c>
      <c r="C67" s="19" t="s">
        <v>84</v>
      </c>
      <c r="D67" s="19" t="s">
        <v>86</v>
      </c>
      <c r="E67" s="25" t="s">
        <v>56</v>
      </c>
      <c r="F67" s="45" t="s">
        <v>123</v>
      </c>
      <c r="G67" s="19" t="s">
        <v>49</v>
      </c>
      <c r="H67" s="45" t="s">
        <v>95</v>
      </c>
      <c r="I67" s="53" t="s">
        <v>104</v>
      </c>
      <c r="J67" s="34">
        <v>4</v>
      </c>
      <c r="K67" s="48">
        <f>100000</f>
        <v>100000</v>
      </c>
      <c r="L67" s="46">
        <v>300000</v>
      </c>
      <c r="M67" s="46">
        <v>100000</v>
      </c>
      <c r="N67" s="20">
        <f t="shared" si="6"/>
        <v>300000</v>
      </c>
      <c r="O67" s="20"/>
      <c r="P67" s="20"/>
      <c r="Q67" s="20"/>
      <c r="R67" s="20">
        <f t="shared" si="7"/>
        <v>300000</v>
      </c>
      <c r="S67" s="49">
        <f>250000+50000</f>
        <v>300000</v>
      </c>
      <c r="T67" s="22">
        <f t="shared" si="8"/>
        <v>1</v>
      </c>
      <c r="U67" s="52">
        <f>127761.1+7021.48</f>
        <v>134782.58000000002</v>
      </c>
      <c r="V67" s="22">
        <f t="shared" si="9"/>
        <v>0.44927526666666673</v>
      </c>
      <c r="W67" s="46">
        <f>127761.1+7021.48</f>
        <v>134782.58000000002</v>
      </c>
      <c r="X67" s="22">
        <f t="shared" si="10"/>
        <v>0.44927526666666673</v>
      </c>
      <c r="Y67" s="5"/>
      <c r="Z67" s="5"/>
      <c r="AA67" s="5"/>
    </row>
    <row r="68" spans="1:27" ht="63" customHeight="1">
      <c r="A68" s="18" t="s">
        <v>74</v>
      </c>
      <c r="B68" s="19" t="s">
        <v>75</v>
      </c>
      <c r="C68" s="19" t="s">
        <v>84</v>
      </c>
      <c r="D68" s="19" t="s">
        <v>86</v>
      </c>
      <c r="E68" s="25" t="s">
        <v>56</v>
      </c>
      <c r="F68" s="45" t="s">
        <v>123</v>
      </c>
      <c r="G68" s="19" t="s">
        <v>49</v>
      </c>
      <c r="H68" s="45" t="s">
        <v>105</v>
      </c>
      <c r="I68" s="53" t="s">
        <v>104</v>
      </c>
      <c r="J68" s="59">
        <v>3</v>
      </c>
      <c r="K68" s="48">
        <v>0</v>
      </c>
      <c r="L68" s="46">
        <v>1569191.32</v>
      </c>
      <c r="M68" s="46">
        <v>5000</v>
      </c>
      <c r="N68" s="20">
        <f t="shared" si="6"/>
        <v>1564191.32</v>
      </c>
      <c r="O68" s="20"/>
      <c r="P68" s="20"/>
      <c r="Q68" s="20"/>
      <c r="R68" s="20">
        <f t="shared" si="7"/>
        <v>1564191.32</v>
      </c>
      <c r="S68" s="49">
        <v>1450616.92</v>
      </c>
      <c r="T68" s="22">
        <f t="shared" si="8"/>
        <v>0.92739097925693637</v>
      </c>
      <c r="U68" s="51">
        <v>300247.31</v>
      </c>
      <c r="V68" s="22">
        <f t="shared" si="9"/>
        <v>0.19195050257662855</v>
      </c>
      <c r="W68" s="46">
        <v>300247.31</v>
      </c>
      <c r="X68" s="22">
        <f t="shared" si="10"/>
        <v>0.19195050257662855</v>
      </c>
      <c r="Y68" s="5"/>
      <c r="Z68" s="5"/>
      <c r="AA68" s="5"/>
    </row>
    <row r="69" spans="1:27" ht="63" customHeight="1">
      <c r="A69" s="18" t="s">
        <v>74</v>
      </c>
      <c r="B69" s="19" t="s">
        <v>75</v>
      </c>
      <c r="C69" s="19" t="s">
        <v>64</v>
      </c>
      <c r="D69" s="19" t="s">
        <v>65</v>
      </c>
      <c r="E69" s="25" t="s">
        <v>56</v>
      </c>
      <c r="F69" s="19" t="s">
        <v>87</v>
      </c>
      <c r="G69" s="19" t="s">
        <v>49</v>
      </c>
      <c r="H69" s="45" t="s">
        <v>95</v>
      </c>
      <c r="I69" s="53" t="s">
        <v>104</v>
      </c>
      <c r="J69" s="59">
        <v>3</v>
      </c>
      <c r="K69" s="48">
        <v>1500000</v>
      </c>
      <c r="L69" s="46">
        <v>575596.36</v>
      </c>
      <c r="M69" s="46">
        <v>575596.36</v>
      </c>
      <c r="N69" s="20">
        <f t="shared" si="6"/>
        <v>1500000</v>
      </c>
      <c r="O69" s="20"/>
      <c r="P69" s="20"/>
      <c r="Q69" s="20"/>
      <c r="R69" s="20">
        <f t="shared" si="7"/>
        <v>1500000</v>
      </c>
      <c r="S69" s="49">
        <v>1218102.29</v>
      </c>
      <c r="T69" s="22">
        <f t="shared" si="8"/>
        <v>0.81206819333333335</v>
      </c>
      <c r="U69" s="51">
        <v>754639.37</v>
      </c>
      <c r="V69" s="22">
        <f t="shared" si="9"/>
        <v>0.50309291333333328</v>
      </c>
      <c r="W69" s="46">
        <v>752220.25</v>
      </c>
      <c r="X69" s="22">
        <f t="shared" si="10"/>
        <v>0.50148016666666662</v>
      </c>
      <c r="Y69" s="5"/>
      <c r="Z69" s="5"/>
      <c r="AA69" s="5"/>
    </row>
    <row r="70" spans="1:27" ht="63" customHeight="1">
      <c r="A70" s="18" t="s">
        <v>74</v>
      </c>
      <c r="B70" s="19" t="s">
        <v>75</v>
      </c>
      <c r="C70" s="19" t="s">
        <v>64</v>
      </c>
      <c r="D70" s="19" t="s">
        <v>65</v>
      </c>
      <c r="E70" s="25" t="s">
        <v>56</v>
      </c>
      <c r="F70" s="19" t="s">
        <v>87</v>
      </c>
      <c r="G70" s="19" t="s">
        <v>49</v>
      </c>
      <c r="H70" s="45" t="s">
        <v>105</v>
      </c>
      <c r="I70" s="53" t="s">
        <v>104</v>
      </c>
      <c r="J70" s="59">
        <v>3</v>
      </c>
      <c r="K70" s="48">
        <v>0</v>
      </c>
      <c r="L70" s="46">
        <v>509200.25</v>
      </c>
      <c r="M70" s="46">
        <v>0</v>
      </c>
      <c r="N70" s="20">
        <f t="shared" si="6"/>
        <v>509200.25</v>
      </c>
      <c r="O70" s="20"/>
      <c r="P70" s="20"/>
      <c r="Q70" s="20"/>
      <c r="R70" s="20">
        <f t="shared" si="7"/>
        <v>509200.25</v>
      </c>
      <c r="S70" s="49">
        <v>309200.25</v>
      </c>
      <c r="T70" s="22">
        <f t="shared" si="8"/>
        <v>0.6072272156190025</v>
      </c>
      <c r="U70" s="51">
        <v>180050.25</v>
      </c>
      <c r="V70" s="22">
        <f t="shared" si="9"/>
        <v>0.35359419010497345</v>
      </c>
      <c r="W70" s="46">
        <v>180050.25</v>
      </c>
      <c r="X70" s="22">
        <f t="shared" si="10"/>
        <v>0.35359419010497345</v>
      </c>
      <c r="Y70" s="5"/>
      <c r="Z70" s="5"/>
      <c r="AA70" s="5"/>
    </row>
    <row r="71" spans="1:27" ht="63" customHeight="1">
      <c r="A71" s="18" t="s">
        <v>74</v>
      </c>
      <c r="B71" s="19" t="s">
        <v>75</v>
      </c>
      <c r="C71" s="19" t="s">
        <v>64</v>
      </c>
      <c r="D71" s="45" t="s">
        <v>54</v>
      </c>
      <c r="E71" s="25" t="s">
        <v>56</v>
      </c>
      <c r="F71" s="45" t="s">
        <v>113</v>
      </c>
      <c r="G71" s="19" t="s">
        <v>49</v>
      </c>
      <c r="H71" s="45" t="s">
        <v>95</v>
      </c>
      <c r="I71" s="53" t="s">
        <v>104</v>
      </c>
      <c r="J71" s="59">
        <v>3</v>
      </c>
      <c r="K71" s="48">
        <v>205640</v>
      </c>
      <c r="L71" s="46">
        <v>0</v>
      </c>
      <c r="M71" s="46">
        <v>0</v>
      </c>
      <c r="N71" s="20">
        <f t="shared" si="6"/>
        <v>205640</v>
      </c>
      <c r="O71" s="20"/>
      <c r="P71" s="20"/>
      <c r="Q71" s="20"/>
      <c r="R71" s="20">
        <f t="shared" si="7"/>
        <v>205640</v>
      </c>
      <c r="S71" s="49">
        <v>0</v>
      </c>
      <c r="T71" s="22">
        <f t="shared" si="8"/>
        <v>0</v>
      </c>
      <c r="U71" s="51">
        <v>0</v>
      </c>
      <c r="V71" s="22">
        <f t="shared" si="9"/>
        <v>0</v>
      </c>
      <c r="W71" s="46">
        <v>0</v>
      </c>
      <c r="X71" s="22">
        <f t="shared" si="10"/>
        <v>0</v>
      </c>
      <c r="Y71" s="5"/>
      <c r="Z71" s="5"/>
      <c r="AA71" s="5"/>
    </row>
    <row r="72" spans="1:27" ht="63" customHeight="1">
      <c r="A72" s="18" t="s">
        <v>74</v>
      </c>
      <c r="B72" s="19" t="s">
        <v>75</v>
      </c>
      <c r="C72" s="19" t="s">
        <v>64</v>
      </c>
      <c r="D72" s="45" t="s">
        <v>54</v>
      </c>
      <c r="E72" s="25" t="s">
        <v>56</v>
      </c>
      <c r="F72" s="45" t="s">
        <v>113</v>
      </c>
      <c r="G72" s="19" t="s">
        <v>49</v>
      </c>
      <c r="H72" s="45" t="s">
        <v>95</v>
      </c>
      <c r="I72" s="53" t="s">
        <v>104</v>
      </c>
      <c r="J72" s="34">
        <v>4</v>
      </c>
      <c r="K72" s="48">
        <v>240000</v>
      </c>
      <c r="L72" s="46">
        <v>0</v>
      </c>
      <c r="M72" s="46">
        <v>0</v>
      </c>
      <c r="N72" s="20">
        <f t="shared" si="6"/>
        <v>240000</v>
      </c>
      <c r="O72" s="20"/>
      <c r="P72" s="20"/>
      <c r="Q72" s="20"/>
      <c r="R72" s="20">
        <f t="shared" si="7"/>
        <v>240000</v>
      </c>
      <c r="S72" s="49">
        <v>0</v>
      </c>
      <c r="T72" s="22">
        <f t="shared" si="8"/>
        <v>0</v>
      </c>
      <c r="U72" s="52">
        <v>0</v>
      </c>
      <c r="V72" s="22">
        <f t="shared" si="9"/>
        <v>0</v>
      </c>
      <c r="W72" s="46">
        <v>0</v>
      </c>
      <c r="X72" s="22">
        <f t="shared" si="10"/>
        <v>0</v>
      </c>
      <c r="Y72" s="5"/>
      <c r="Z72" s="5"/>
      <c r="AA72" s="5"/>
    </row>
    <row r="73" spans="1:27" ht="63" customHeight="1">
      <c r="A73" s="58" t="s">
        <v>74</v>
      </c>
      <c r="B73" s="19" t="s">
        <v>75</v>
      </c>
      <c r="C73" s="45" t="s">
        <v>64</v>
      </c>
      <c r="D73" s="45" t="s">
        <v>124</v>
      </c>
      <c r="E73" s="25" t="s">
        <v>56</v>
      </c>
      <c r="F73" s="45" t="s">
        <v>113</v>
      </c>
      <c r="G73" s="45" t="s">
        <v>49</v>
      </c>
      <c r="H73" s="45" t="s">
        <v>97</v>
      </c>
      <c r="I73" s="45" t="s">
        <v>106</v>
      </c>
      <c r="J73" s="66">
        <v>3</v>
      </c>
      <c r="K73" s="48">
        <v>1200000</v>
      </c>
      <c r="L73" s="46">
        <v>63714</v>
      </c>
      <c r="M73" s="46">
        <v>63714</v>
      </c>
      <c r="N73" s="20">
        <f t="shared" si="6"/>
        <v>1200000</v>
      </c>
      <c r="O73" s="20"/>
      <c r="P73" s="20"/>
      <c r="Q73" s="20"/>
      <c r="R73" s="20">
        <f t="shared" si="7"/>
        <v>1200000</v>
      </c>
      <c r="S73" s="49">
        <v>807820.44</v>
      </c>
      <c r="T73" s="22">
        <f t="shared" si="8"/>
        <v>0.67318369999999994</v>
      </c>
      <c r="U73" s="51">
        <v>310714.09999999998</v>
      </c>
      <c r="V73" s="22">
        <f t="shared" si="9"/>
        <v>0.25892841666666666</v>
      </c>
      <c r="W73" s="46">
        <v>307198.73</v>
      </c>
      <c r="X73" s="22">
        <f t="shared" si="10"/>
        <v>0.25599894166666665</v>
      </c>
      <c r="Y73" s="5"/>
      <c r="Z73" s="5"/>
      <c r="AA73" s="5"/>
    </row>
    <row r="74" spans="1:27" ht="15.75" customHeight="1">
      <c r="A74" s="84" t="s">
        <v>88</v>
      </c>
      <c r="B74" s="72"/>
      <c r="C74" s="72"/>
      <c r="D74" s="72"/>
      <c r="E74" s="72"/>
      <c r="F74" s="72"/>
      <c r="G74" s="72"/>
      <c r="H74" s="72"/>
      <c r="I74" s="72"/>
      <c r="J74" s="73"/>
      <c r="K74" s="29">
        <f t="shared" ref="K74:S74" si="11">SUM(K32:K73)</f>
        <v>190820000</v>
      </c>
      <c r="L74" s="29">
        <f t="shared" si="11"/>
        <v>144556977.30000001</v>
      </c>
      <c r="M74" s="29">
        <f t="shared" si="11"/>
        <v>67056264.800000004</v>
      </c>
      <c r="N74" s="29">
        <f t="shared" si="11"/>
        <v>268320712.5</v>
      </c>
      <c r="O74" s="29">
        <f t="shared" si="11"/>
        <v>0</v>
      </c>
      <c r="P74" s="29">
        <f t="shared" si="11"/>
        <v>0</v>
      </c>
      <c r="Q74" s="29">
        <f t="shared" si="11"/>
        <v>0</v>
      </c>
      <c r="R74" s="29">
        <f t="shared" si="11"/>
        <v>268320712.5</v>
      </c>
      <c r="S74" s="29">
        <f t="shared" si="11"/>
        <v>227056350.0699999</v>
      </c>
      <c r="T74" s="30">
        <f t="shared" si="8"/>
        <v>0.84621253407710706</v>
      </c>
      <c r="U74" s="29">
        <f>SUM(U32:U73)</f>
        <v>132538473.67000002</v>
      </c>
      <c r="V74" s="30">
        <f t="shared" si="9"/>
        <v>0.49395543279201759</v>
      </c>
      <c r="W74" s="29">
        <f>SUM(W32:W73)</f>
        <v>132007381.21000001</v>
      </c>
      <c r="X74" s="30">
        <f t="shared" si="10"/>
        <v>0.49197611313737105</v>
      </c>
      <c r="Y74" s="5"/>
      <c r="Z74" s="5"/>
      <c r="AA74" s="5"/>
    </row>
    <row r="75" spans="1:27" ht="15.75" customHeight="1">
      <c r="A75" s="85" t="s">
        <v>89</v>
      </c>
      <c r="B75" s="72"/>
      <c r="C75" s="72"/>
      <c r="D75" s="72"/>
      <c r="E75" s="72"/>
      <c r="F75" s="72"/>
      <c r="G75" s="72"/>
      <c r="H75" s="72"/>
      <c r="I75" s="72"/>
      <c r="J75" s="73"/>
      <c r="K75" s="35">
        <f t="shared" ref="K75:S75" si="12">SUM(K29+K74)</f>
        <v>1214989000</v>
      </c>
      <c r="L75" s="35">
        <f t="shared" si="12"/>
        <v>232646840.33000001</v>
      </c>
      <c r="M75" s="35">
        <f t="shared" si="12"/>
        <v>154946127.83000001</v>
      </c>
      <c r="N75" s="35">
        <f t="shared" si="12"/>
        <v>1292689712.5</v>
      </c>
      <c r="O75" s="35">
        <f t="shared" si="12"/>
        <v>0</v>
      </c>
      <c r="P75" s="35">
        <f t="shared" si="12"/>
        <v>0</v>
      </c>
      <c r="Q75" s="35">
        <f t="shared" si="12"/>
        <v>-56307108.43</v>
      </c>
      <c r="R75" s="35" t="e">
        <f t="shared" si="12"/>
        <v>#VALUE!</v>
      </c>
      <c r="S75" s="35">
        <f t="shared" si="12"/>
        <v>1066259038.0700001</v>
      </c>
      <c r="T75" s="36" t="e">
        <f t="shared" si="8"/>
        <v>#VALUE!</v>
      </c>
      <c r="U75" s="35">
        <f>SUM(U29+U74)</f>
        <v>971736192.9000001</v>
      </c>
      <c r="V75" s="36" t="e">
        <f t="shared" si="9"/>
        <v>#VALUE!</v>
      </c>
      <c r="W75" s="35">
        <f>SUM(W29+W74)</f>
        <v>969039737.72000003</v>
      </c>
      <c r="X75" s="36" t="e">
        <f t="shared" si="10"/>
        <v>#VALUE!</v>
      </c>
      <c r="Y75" s="23"/>
      <c r="Z75" s="5"/>
      <c r="AA75" s="5"/>
    </row>
    <row r="76" spans="1:27" ht="14.25" customHeight="1">
      <c r="A76" s="37" t="s">
        <v>90</v>
      </c>
      <c r="B76" s="38"/>
      <c r="C76" s="38"/>
      <c r="D76" s="38"/>
      <c r="E76" s="38"/>
      <c r="F76" s="38"/>
      <c r="G76" s="38"/>
      <c r="H76" s="39"/>
      <c r="I76" s="39"/>
      <c r="J76" s="39"/>
      <c r="K76" s="38"/>
      <c r="L76" s="38"/>
      <c r="M76" s="40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5"/>
      <c r="Z76" s="5"/>
      <c r="AA76" s="5"/>
    </row>
    <row r="77" spans="1:27" ht="14.25" customHeight="1">
      <c r="A77" s="37" t="s">
        <v>91</v>
      </c>
      <c r="B77" s="42"/>
      <c r="C77" s="38"/>
      <c r="D77" s="38"/>
      <c r="E77" s="38"/>
      <c r="F77" s="38"/>
      <c r="G77" s="38"/>
      <c r="H77" s="39"/>
      <c r="I77" s="39"/>
      <c r="J77" s="39"/>
      <c r="K77" s="38"/>
      <c r="L77" s="38"/>
      <c r="M77" s="40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5"/>
      <c r="Z77" s="56"/>
      <c r="AA77" s="5"/>
    </row>
    <row r="78" spans="1:27" ht="14.25" customHeight="1">
      <c r="A78" s="86" t="s">
        <v>92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3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5"/>
      <c r="Z78" s="56"/>
      <c r="AA78" s="5"/>
    </row>
    <row r="79" spans="1:27" ht="14.25" customHeight="1">
      <c r="A79" s="60" t="s">
        <v>108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41"/>
      <c r="O79" s="41"/>
      <c r="P79" s="41"/>
      <c r="Q79" s="5"/>
      <c r="R79" s="5"/>
      <c r="S79" s="5"/>
      <c r="T79" s="5"/>
      <c r="U79" s="5"/>
      <c r="V79" s="5"/>
      <c r="W79" s="5"/>
      <c r="X79" s="43"/>
      <c r="Y79" s="5"/>
      <c r="Z79" s="56"/>
      <c r="AA79" s="5"/>
    </row>
    <row r="80" spans="1:27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64"/>
      <c r="U81" s="67"/>
      <c r="V81" s="5"/>
      <c r="W81" s="5"/>
      <c r="X81" s="5"/>
      <c r="Y81" s="5"/>
      <c r="Z81" s="5"/>
      <c r="AA81" s="5"/>
    </row>
    <row r="82" spans="1:27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64"/>
      <c r="U82" s="67"/>
      <c r="V82" s="5"/>
      <c r="W82" s="5"/>
      <c r="X82" s="5"/>
      <c r="Y82" s="5"/>
      <c r="Z82" s="5"/>
      <c r="AA82" s="5"/>
    </row>
    <row r="83" spans="1:27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</sheetData>
  <mergeCells count="27">
    <mergeCell ref="A12:B12"/>
    <mergeCell ref="C12:C13"/>
    <mergeCell ref="D12:D13"/>
    <mergeCell ref="G12:G13"/>
    <mergeCell ref="J12:J13"/>
    <mergeCell ref="A29:J29"/>
    <mergeCell ref="A74:J74"/>
    <mergeCell ref="A75:J75"/>
    <mergeCell ref="A78:M78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:F1"/>
    <mergeCell ref="A2:F2"/>
    <mergeCell ref="A3:F3"/>
    <mergeCell ref="A4:F4"/>
    <mergeCell ref="A6:F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2024-11-19T18:12:07Z</dcterms:modified>
</cp:coreProperties>
</file>